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externalLinks/externalLink8.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5" yWindow="-105" windowWidth="19440" windowHeight="11760" tabRatio="879"/>
  </bookViews>
  <sheets>
    <sheet name="Title" sheetId="43" r:id="rId1"/>
    <sheet name="Index " sheetId="45" state="hidden" r:id="rId2"/>
    <sheet name="Form 1" sheetId="2" r:id="rId3"/>
    <sheet name="ARR-Actual" sheetId="55" r:id="rId4"/>
    <sheet name="ARR-projection" sheetId="68" r:id="rId5"/>
    <sheet name="Tariff claim" sheetId="65" r:id="rId6"/>
    <sheet name="Form 2" sheetId="26" r:id="rId7"/>
    <sheet name="Form 3" sheetId="4" r:id="rId8"/>
    <sheet name="Form 5" sheetId="5" r:id="rId9"/>
    <sheet name="Form 5B " sheetId="27" r:id="rId10"/>
    <sheet name="Form 6" sheetId="46" r:id="rId11"/>
    <sheet name="Form 7 " sheetId="12" r:id="rId12"/>
    <sheet name="Form-9 2019-20" sheetId="60" r:id="rId13"/>
    <sheet name="Form-9 2020-21" sheetId="61" r:id="rId14"/>
    <sheet name="Form-9 2021-22" sheetId="62" r:id="rId15"/>
    <sheet name="Form-11" sheetId="41" r:id="rId16"/>
    <sheet name="Form 5B" sheetId="7" state="hidden" r:id="rId17"/>
    <sheet name="Table 9" sheetId="9" state="hidden" r:id="rId18"/>
    <sheet name="Form 5D" sheetId="11" state="hidden" r:id="rId19"/>
    <sheet name="Table 13" sheetId="13" state="hidden" r:id="rId20"/>
    <sheet name="Depr" sheetId="16" state="hidden" r:id="rId21"/>
    <sheet name="Form 12" sheetId="40" r:id="rId22"/>
    <sheet name="Form 13" sheetId="33" r:id="rId23"/>
    <sheet name="Form 13A" sheetId="42" r:id="rId24"/>
    <sheet name="Form13B" sheetId="23" r:id="rId25"/>
    <sheet name="Form 14" sheetId="17" r:id="rId26"/>
    <sheet name="Form 15 Coal " sheetId="51" r:id="rId27"/>
    <sheet name="Form 15 oil" sheetId="49" r:id="rId28"/>
    <sheet name="Form 16-O&amp;M (2)" sheetId="64" r:id="rId29"/>
    <sheet name="Energy Charges" sheetId="20" r:id="rId30"/>
    <sheet name="Loan Refinance" sheetId="37" r:id="rId31"/>
    <sheet name="Form15 Coal " sheetId="21" state="hidden" r:id="rId32"/>
    <sheet name="Form15 OIL" sheetId="22" state="hidden" r:id="rId33"/>
    <sheet name="form5D" sheetId="31" state="hidden" r:id="rId34"/>
    <sheet name="13A sub" sheetId="32" state="hidden" r:id="rId35"/>
    <sheet name="CC_T14_old" sheetId="34" state="hidden" r:id="rId36"/>
    <sheet name="FUEL COST" sheetId="52" r:id="rId37"/>
    <sheet name="Incentive" sheetId="54" r:id="rId38"/>
    <sheet name="FGD and Nox" sheetId="57" state="hidden" r:id="rId39"/>
    <sheet name="App III -liability " sheetId="39" state="hidden" r:id="rId40"/>
    <sheet name="Water charges and filling fees" sheetId="67" r:id="rId41"/>
    <sheet name="App-IV input Capital cost" sheetId="24" state="hidden" r:id="rId42"/>
    <sheet name="TSERC allowance" sheetId="35" state="hidden" r:id="rId43"/>
    <sheet name="Form 5B  (2)" sheetId="47" state="hidden" r:id="rId44"/>
    <sheet name="Sheet1" sheetId="58" state="hidden" r:id="rId45"/>
    <sheet name="Sheet2" sheetId="66" state="hidden"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Hlk1989129" localSheetId="21">'Form 12'!$L$96</definedName>
    <definedName name="_Ref441831867" localSheetId="35">CC_T14_old!$A$1</definedName>
    <definedName name="_Toc442179767" localSheetId="6">'Form 2'!$A$5</definedName>
    <definedName name="_Toc442179769" localSheetId="39">'App III -liability '!$A$5</definedName>
    <definedName name="_Toc442179769" localSheetId="21">'Form 12'!$A$5</definedName>
    <definedName name="_Toc442179769" localSheetId="9">'Form 5B '!$A$3</definedName>
    <definedName name="_Toc442179769" localSheetId="43">'Form 5B  (2)'!$A$5</definedName>
    <definedName name="_Toc442179769" localSheetId="42">'TSERC allowance'!$A$5</definedName>
    <definedName name="Currency" localSheetId="39">[1]Inputs!#REF!</definedName>
    <definedName name="Currency" localSheetId="4">[1]Inputs!#REF!</definedName>
    <definedName name="Currency" localSheetId="21">[1]Inputs!#REF!</definedName>
    <definedName name="Currency" localSheetId="22">[1]Inputs!#REF!</definedName>
    <definedName name="Currency" localSheetId="27">[2]Inputs!#REF!</definedName>
    <definedName name="Currency" localSheetId="28">[1]Inputs!#REF!</definedName>
    <definedName name="Currency" localSheetId="43">[1]Inputs!#REF!</definedName>
    <definedName name="Currency" localSheetId="1">[1]Inputs!#REF!</definedName>
    <definedName name="Currency" localSheetId="42">[1]Inputs!#REF!</definedName>
    <definedName name="Currency">[1]Inputs!#REF!</definedName>
    <definedName name="Header1" localSheetId="39" hidden="1">IF(COUNTA(#REF!)=0,0,INDEX(#REF!,MATCH(ROW(#REF!),#REF!,TRUE)))+1</definedName>
    <definedName name="Header1" localSheetId="4" hidden="1">IF(COUNTA(#REF!)=0,0,INDEX(#REF!,MATCH(ROW(#REF!),#REF!,TRUE)))+1</definedName>
    <definedName name="Header1" localSheetId="35" hidden="1">IF(COUNTA(#REF!)=0,0,INDEX(#REF!,MATCH(ROW(#REF!),#REF!,TRUE)))+1</definedName>
    <definedName name="Header1" localSheetId="21" hidden="1">IF(COUNTA(#REF!)=0,0,INDEX(#REF!,MATCH(ROW(#REF!),#REF!,TRUE)))+1</definedName>
    <definedName name="Header1" localSheetId="22" hidden="1">IF(COUNTA(#REF!)=0,0,INDEX(#REF!,MATCH(ROW(#REF!),#REF!,TRUE)))+1</definedName>
    <definedName name="Header1" localSheetId="27" hidden="1">IF(COUNTA(#REF!)=0,0,INDEX(#REF!,MATCH(ROW(#REF!),#REF!,TRUE)))+1</definedName>
    <definedName name="Header1" localSheetId="28" hidden="1">IF(COUNTA(#REF!)=0,0,INDEX(#REF!,MATCH(ROW(#REF!),#REF!,TRUE)))+1</definedName>
    <definedName name="Header1" localSheetId="43" hidden="1">IF(COUNTA(#REF!)=0,0,INDEX(#REF!,MATCH(ROW(#REF!),#REF!,TRUE)))+1</definedName>
    <definedName name="Header1" localSheetId="1" hidden="1">IF(COUNTA(#REF!)=0,0,INDEX(#REF!,MATCH(ROW(#REF!),#REF!,TRUE)))+1</definedName>
    <definedName name="Header1" localSheetId="42" hidden="1">IF(COUNTA(#REF!)=0,0,INDEX(#REF!,MATCH(ROW(#REF!),#REF!,TRUE)))+1</definedName>
    <definedName name="Header1" hidden="1">IF(COUNTA(#REF!)=0,0,INDEX(#REF!,MATCH(ROW(#REF!),#REF!,TRUE)))+1</definedName>
    <definedName name="Header2" localSheetId="39" hidden="1">[3]!Header1-1 &amp; "." &amp; MAX(1,COUNTA(INDEX(#REF!,MATCH([3]!Header1-1,#REF!,FALSE)):#REF!))</definedName>
    <definedName name="Header2" localSheetId="4" hidden="1">[3]!Header1-1 &amp; "." &amp; MAX(1,COUNTA(INDEX(#REF!,MATCH([3]!Header1-1,#REF!,FALSE)):#REF!))</definedName>
    <definedName name="Header2" localSheetId="35" hidden="1">[3]!Header1-1 &amp; "." &amp; MAX(1,COUNTA(INDEX(#REF!,MATCH([3]!Header1-1,#REF!,FALSE)):#REF!))</definedName>
    <definedName name="Header2" localSheetId="21" hidden="1">[3]!Header1-1 &amp; "." &amp; MAX(1,COUNTA(INDEX(#REF!,MATCH([3]!Header1-1,#REF!,FALSE)):#REF!))</definedName>
    <definedName name="Header2" localSheetId="22" hidden="1">[3]!Header1-1 &amp; "." &amp; MAX(1,COUNTA(INDEX(#REF!,MATCH([3]!Header1-1,#REF!,FALSE)):#REF!))</definedName>
    <definedName name="Header2" localSheetId="27" hidden="1">[4]!Header1-1 &amp; "." &amp; MAX(1,COUNTA(INDEX(#REF!,MATCH([4]!Header1-1,#REF!,FALSE)):#REF!))</definedName>
    <definedName name="Header2" localSheetId="28" hidden="1">[3]!Header1-1 &amp; "." &amp; MAX(1,COUNTA(INDEX(#REF!,MATCH([3]!Header1-1,#REF!,FALSE)):#REF!))</definedName>
    <definedName name="Header2" localSheetId="43" hidden="1">[3]!Header1-1 &amp; "." &amp; MAX(1,COUNTA(INDEX(#REF!,MATCH([3]!Header1-1,#REF!,FALSE)):#REF!))</definedName>
    <definedName name="Header2" localSheetId="1" hidden="1">[3]!Header1-1 &amp; "." &amp; MAX(1,COUNTA(INDEX(#REF!,MATCH([3]!Header1-1,#REF!,FALSE)):#REF!))</definedName>
    <definedName name="Header2" localSheetId="42" hidden="1">[3]!Header1-1 &amp; "." &amp; MAX(1,COUNTA(INDEX(#REF!,MATCH([3]!Header1-1,#REF!,FALSE)):#REF!))</definedName>
    <definedName name="Header2" hidden="1">[3]!Header1-1 &amp; "." &amp; MAX(1,COUNTA(INDEX(#REF!,MATCH([3]!Header1-1,#REF!,FALSE)):#REF!))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OLD" hidden="1">"c1761"</definedName>
    <definedName name="IQ_EST_NUM_HOLD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39520.4343865741</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Months_in_year">[1]Inputs!$G$26</definedName>
    <definedName name="_xlnm.Print_Area" localSheetId="39">'App III -liability '!$A$2:$H$72</definedName>
    <definedName name="_xlnm.Print_Area" localSheetId="41">'App-IV input Capital cost'!$B$2:$L$47</definedName>
    <definedName name="_xlnm.Print_Area" localSheetId="3">'ARR-Actual'!$A$1:$W$54</definedName>
    <definedName name="_xlnm.Print_Area" localSheetId="4">'ARR-projection'!$A$1:$Y$56</definedName>
    <definedName name="_xlnm.Print_Area" localSheetId="29">'Energy Charges'!$B$1:$H$67</definedName>
    <definedName name="_xlnm.Print_Area" localSheetId="2">'Form 1'!$A$1:$L$40</definedName>
    <definedName name="_xlnm.Print_Area" localSheetId="21">'Form 12'!$A$2:$P$43</definedName>
    <definedName name="_xlnm.Print_Area" localSheetId="22">'Form 13'!$B$1:$Q$81</definedName>
    <definedName name="_xlnm.Print_Area" localSheetId="23">'Form 13A'!$B$1:$K$33</definedName>
    <definedName name="_xlnm.Print_Area" localSheetId="25">'Form 14'!$A$1:$K$30</definedName>
    <definedName name="_xlnm.Print_Area" localSheetId="26">'Form 15 Coal '!$A$1:$Q$55</definedName>
    <definedName name="_xlnm.Print_Area" localSheetId="27">'Form 15 oil'!$A$1:$Q$63</definedName>
    <definedName name="_xlnm.Print_Area" localSheetId="28">'Form 16-O&amp;M (2)'!$A$1:$I$90</definedName>
    <definedName name="_xlnm.Print_Area" localSheetId="7">'Form 3'!$A$1:$H$36</definedName>
    <definedName name="_xlnm.Print_Area" localSheetId="8">'Form 5'!$A$1:$B$27</definedName>
    <definedName name="_xlnm.Print_Area" localSheetId="9">'Form 5B '!$A$1:$Q$68</definedName>
    <definedName name="_xlnm.Print_Area" localSheetId="43">'Form 5B  (2)'!$A$2:$J$73</definedName>
    <definedName name="_xlnm.Print_Area" localSheetId="10">'Form 6'!$A$1:$G$36</definedName>
    <definedName name="_xlnm.Print_Area" localSheetId="11">'Form 7 '!$A$1:$F$50</definedName>
    <definedName name="_xlnm.Print_Area" localSheetId="15">'Form-11'!$A$1:$J$38</definedName>
    <definedName name="_xlnm.Print_Area" localSheetId="24">Form13B!$B$3:$N$26</definedName>
    <definedName name="_xlnm.Print_Area" localSheetId="31">'Form15 Coal '!$A$1:$I$43</definedName>
    <definedName name="_xlnm.Print_Area" localSheetId="32">'Form15 OIL'!$A$1:$I$41</definedName>
    <definedName name="_xlnm.Print_Area" localSheetId="12">'Form-9 2019-20'!$A$2:$I$29</definedName>
    <definedName name="_xlnm.Print_Area" localSheetId="13">'Form-9 2020-21'!$A$2:$I$27</definedName>
    <definedName name="_xlnm.Print_Area" localSheetId="14">'Form-9 2021-22'!$A$2:$I$29</definedName>
    <definedName name="_xlnm.Print_Area" localSheetId="36">'FUEL COST'!$A$4:$J$26</definedName>
    <definedName name="_xlnm.Print_Area" localSheetId="30">'Loan Refinance'!$B$1:$N$38</definedName>
    <definedName name="_xlnm.Print_Area" localSheetId="5">'Tariff claim'!$A$1:$M$68</definedName>
    <definedName name="_xlnm.Print_Area" localSheetId="0">Title!$C$11:$E$19</definedName>
    <definedName name="_xlnm.Print_Area" localSheetId="42">'TSERC allowance'!$A$10:$AE$68</definedName>
    <definedName name="_xlnm.Print_Titles" localSheetId="22">'Form 13'!$1:$12</definedName>
    <definedName name="_xlnm.Print_Titles" localSheetId="28">'Form 16-O&amp;M (2)'!$1:$9</definedName>
    <definedName name="_xlnm.Print_Titles" localSheetId="9">'Form 5B '!$1:$9</definedName>
    <definedName name="_xlnm.Print_Titles" localSheetId="12">'Form-9 2019-20'!$2:$10</definedName>
    <definedName name="_xlnm.Print_Titles" localSheetId="13">'Form-9 2020-21'!$2:$10</definedName>
    <definedName name="_xlnm.Print_Titles" localSheetId="14">'Form-9 2021-22'!$2:$10</definedName>
    <definedName name="_xlnm.Print_Titles" localSheetId="5">'Tariff claim'!$1:$4</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8" i="5"/>
  <c r="A8"/>
  <c r="B6"/>
  <c r="A6"/>
  <c r="F59" i="65" l="1"/>
  <c r="R24" i="37"/>
  <c r="R23"/>
  <c r="R22"/>
  <c r="P22"/>
  <c r="P23" s="1"/>
  <c r="P24" s="1"/>
  <c r="Q22"/>
  <c r="Q23" s="1"/>
  <c r="Q24" s="1"/>
  <c r="G19" i="41" l="1"/>
  <c r="H19"/>
  <c r="I19"/>
  <c r="J19"/>
  <c r="F19"/>
  <c r="R38" i="64" l="1"/>
  <c r="Q38"/>
  <c r="P38"/>
  <c r="D14" i="20"/>
  <c r="D15"/>
  <c r="D16"/>
  <c r="D17"/>
  <c r="F14"/>
  <c r="F15"/>
  <c r="F16"/>
  <c r="F17"/>
  <c r="E15"/>
  <c r="E16"/>
  <c r="E17"/>
  <c r="E14"/>
  <c r="G37" i="65"/>
  <c r="G38"/>
  <c r="K26" i="40"/>
  <c r="O50" i="27"/>
  <c r="M50"/>
  <c r="M39"/>
  <c r="M62"/>
  <c r="M63" l="1"/>
  <c r="O51" i="33"/>
  <c r="P51"/>
  <c r="O62"/>
  <c r="P62"/>
  <c r="O72"/>
  <c r="P72"/>
  <c r="H50" i="68"/>
  <c r="N50"/>
  <c r="O50"/>
  <c r="G46"/>
  <c r="F46"/>
  <c r="T13"/>
  <c r="T14"/>
  <c r="T15"/>
  <c r="T16"/>
  <c r="S13"/>
  <c r="S14"/>
  <c r="S15"/>
  <c r="S16"/>
  <c r="T12"/>
  <c r="S12"/>
  <c r="Q16" i="55"/>
  <c r="R16"/>
  <c r="P16"/>
  <c r="Q15"/>
  <c r="R15"/>
  <c r="S15"/>
  <c r="T15"/>
  <c r="P15"/>
  <c r="Q14"/>
  <c r="R14"/>
  <c r="P14"/>
  <c r="Q13"/>
  <c r="R13"/>
  <c r="P13"/>
  <c r="Q12"/>
  <c r="R12"/>
  <c r="P12"/>
  <c r="J15" i="65"/>
  <c r="K15"/>
  <c r="L15"/>
  <c r="M15"/>
  <c r="I15"/>
  <c r="O73" i="33" l="1"/>
  <c r="P73"/>
  <c r="R29" i="55"/>
  <c r="Q29"/>
  <c r="P29"/>
  <c r="M115" i="40" l="1"/>
  <c r="P39" i="27"/>
  <c r="N39"/>
  <c r="E21" i="62" l="1"/>
  <c r="E20"/>
  <c r="E16"/>
  <c r="E15"/>
  <c r="E19" i="61"/>
  <c r="E18"/>
  <c r="E22" i="60"/>
  <c r="E45" i="68" l="1"/>
  <c r="D45"/>
  <c r="C45"/>
  <c r="F44"/>
  <c r="G44" s="1"/>
  <c r="E44"/>
  <c r="D44"/>
  <c r="C44"/>
  <c r="E43"/>
  <c r="D43"/>
  <c r="C43"/>
  <c r="F42"/>
  <c r="G42" s="1"/>
  <c r="D41"/>
  <c r="F41" s="1"/>
  <c r="G41" s="1"/>
  <c r="F40"/>
  <c r="G40" s="1"/>
  <c r="G39"/>
  <c r="F39"/>
  <c r="E38"/>
  <c r="D38"/>
  <c r="C38"/>
  <c r="E37"/>
  <c r="D37"/>
  <c r="C37"/>
  <c r="F37" s="1"/>
  <c r="G37" s="1"/>
  <c r="E36"/>
  <c r="D36"/>
  <c r="C36"/>
  <c r="C46" s="1"/>
  <c r="U46" s="1"/>
  <c r="G35"/>
  <c r="F35"/>
  <c r="E34"/>
  <c r="E46" s="1"/>
  <c r="W46" s="1"/>
  <c r="D34"/>
  <c r="F34" s="1"/>
  <c r="G34" s="1"/>
  <c r="G28"/>
  <c r="Y28" s="1"/>
  <c r="F28"/>
  <c r="X28" s="1"/>
  <c r="C24"/>
  <c r="U24" s="1"/>
  <c r="D21"/>
  <c r="C21"/>
  <c r="T17"/>
  <c r="S17"/>
  <c r="R17"/>
  <c r="Q17"/>
  <c r="P17"/>
  <c r="E41" i="65"/>
  <c r="K53"/>
  <c r="K54"/>
  <c r="K55"/>
  <c r="K56"/>
  <c r="K57"/>
  <c r="K58"/>
  <c r="K59"/>
  <c r="K60"/>
  <c r="K61"/>
  <c r="K62"/>
  <c r="J62"/>
  <c r="J61"/>
  <c r="J60"/>
  <c r="J59"/>
  <c r="J58"/>
  <c r="J57"/>
  <c r="J56"/>
  <c r="J55"/>
  <c r="J54"/>
  <c r="J53"/>
  <c r="F13" i="67"/>
  <c r="E13"/>
  <c r="F38" i="68" l="1"/>
  <c r="G38" s="1"/>
  <c r="D46"/>
  <c r="V46" s="1"/>
  <c r="F43"/>
  <c r="G43" s="1"/>
  <c r="F45"/>
  <c r="G45" s="1"/>
  <c r="F36"/>
  <c r="G36" s="1"/>
  <c r="Y46" s="1"/>
  <c r="X46"/>
  <c r="D30" i="12"/>
  <c r="C30"/>
  <c r="B30"/>
  <c r="C29"/>
  <c r="D29" s="1"/>
  <c r="C28"/>
  <c r="D28" s="1"/>
  <c r="D18"/>
  <c r="C18"/>
  <c r="C24" i="55"/>
  <c r="U24" s="1"/>
  <c r="T17"/>
  <c r="S17"/>
  <c r="R17"/>
  <c r="Q17"/>
  <c r="P17"/>
  <c r="H86" i="64" l="1"/>
  <c r="O38"/>
  <c r="P41" s="1"/>
  <c r="D82" s="1"/>
  <c r="R41" l="1"/>
  <c r="F82" s="1"/>
  <c r="G82" s="1"/>
  <c r="H82" s="1"/>
  <c r="Q41"/>
  <c r="E82" s="1"/>
  <c r="D19" l="1"/>
  <c r="D20" s="1"/>
  <c r="D21" s="1"/>
  <c r="E20"/>
  <c r="E21" s="1"/>
  <c r="F20"/>
  <c r="F21" s="1"/>
  <c r="D53"/>
  <c r="D68" s="1"/>
  <c r="F53"/>
  <c r="F68" s="1"/>
  <c r="G53"/>
  <c r="H53" s="1"/>
  <c r="H68" s="1"/>
  <c r="E53"/>
  <c r="E68" s="1"/>
  <c r="D15" i="67"/>
  <c r="G68" i="64" l="1"/>
  <c r="G28" l="1"/>
  <c r="F28"/>
  <c r="E28"/>
  <c r="D28"/>
  <c r="H28" i="4"/>
  <c r="G60" i="65"/>
  <c r="H60"/>
  <c r="F15" i="67"/>
  <c r="E15"/>
  <c r="D13"/>
  <c r="E29" i="64" l="1"/>
  <c r="E69" s="1"/>
  <c r="E70" s="1"/>
  <c r="E71" s="1"/>
  <c r="D29"/>
  <c r="D69" s="1"/>
  <c r="D70" s="1"/>
  <c r="D71" s="1"/>
  <c r="F29"/>
  <c r="G29" l="1"/>
  <c r="F69"/>
  <c r="F70" s="1"/>
  <c r="F71" s="1"/>
  <c r="H61" i="65"/>
  <c r="G28" i="55"/>
  <c r="G61" i="65"/>
  <c r="F28" i="55"/>
  <c r="F14" i="67"/>
  <c r="F16" s="1"/>
  <c r="E14"/>
  <c r="E16" s="1"/>
  <c r="D14"/>
  <c r="D16" s="1"/>
  <c r="H29" i="64" l="1"/>
  <c r="H69" s="1"/>
  <c r="H70" s="1"/>
  <c r="H71" s="1"/>
  <c r="G69"/>
  <c r="G70" s="1"/>
  <c r="G71" s="1"/>
  <c r="D48" i="65"/>
  <c r="D61" s="1"/>
  <c r="H33" i="2"/>
  <c r="C28" i="55" s="1"/>
  <c r="F48" i="65"/>
  <c r="F61" s="1"/>
  <c r="J33" i="2"/>
  <c r="E28" i="55" s="1"/>
  <c r="E48" i="65"/>
  <c r="E61" s="1"/>
  <c r="I33" i="2"/>
  <c r="D28" i="55" s="1"/>
  <c r="I56" i="4"/>
  <c r="K24" i="17" s="1"/>
  <c r="H56" i="4"/>
  <c r="F56"/>
  <c r="G56" s="1"/>
  <c r="F28" s="1"/>
  <c r="I24" i="17" s="1"/>
  <c r="D56" i="4"/>
  <c r="E56" s="1"/>
  <c r="E28" s="1"/>
  <c r="H24" i="17" s="1"/>
  <c r="B56" i="4"/>
  <c r="C56" s="1"/>
  <c r="D28" s="1"/>
  <c r="G24" i="17" s="1"/>
  <c r="D112" i="20"/>
  <c r="G34" s="1"/>
  <c r="F112"/>
  <c r="G36" s="1"/>
  <c r="C112"/>
  <c r="G35" s="1"/>
  <c r="H109"/>
  <c r="H110"/>
  <c r="H111"/>
  <c r="Q59" i="49"/>
  <c r="P59"/>
  <c r="O59"/>
  <c r="N59"/>
  <c r="M59"/>
  <c r="L59"/>
  <c r="K59"/>
  <c r="J59"/>
  <c r="K51"/>
  <c r="Q25"/>
  <c r="Q33" s="1"/>
  <c r="P25"/>
  <c r="P33" s="1"/>
  <c r="O25"/>
  <c r="O33" s="1"/>
  <c r="N25"/>
  <c r="N33" s="1"/>
  <c r="M25"/>
  <c r="M33" s="1"/>
  <c r="L25"/>
  <c r="L33" s="1"/>
  <c r="K25"/>
  <c r="K33" s="1"/>
  <c r="J25"/>
  <c r="J33" s="1"/>
  <c r="Q22"/>
  <c r="Q34" s="1"/>
  <c r="P22"/>
  <c r="P34" s="1"/>
  <c r="O22"/>
  <c r="O34" s="1"/>
  <c r="N22"/>
  <c r="N34" s="1"/>
  <c r="M22"/>
  <c r="M34" s="1"/>
  <c r="L22"/>
  <c r="K22"/>
  <c r="K34" s="1"/>
  <c r="J22"/>
  <c r="J34" s="1"/>
  <c r="Q14"/>
  <c r="Q16" s="1"/>
  <c r="P14"/>
  <c r="P16" s="1"/>
  <c r="O14"/>
  <c r="O16" s="1"/>
  <c r="N14"/>
  <c r="N16" s="1"/>
  <c r="M14"/>
  <c r="M16" s="1"/>
  <c r="L14"/>
  <c r="L16" s="1"/>
  <c r="K14"/>
  <c r="K16" s="1"/>
  <c r="J14"/>
  <c r="J16" s="1"/>
  <c r="K8"/>
  <c r="K9" s="1"/>
  <c r="J8"/>
  <c r="L8" s="1"/>
  <c r="J46" i="51"/>
  <c r="J41"/>
  <c r="J38"/>
  <c r="P26"/>
  <c r="P32" s="1"/>
  <c r="N26"/>
  <c r="N32" s="1"/>
  <c r="L26"/>
  <c r="L32" s="1"/>
  <c r="J26"/>
  <c r="J32" s="1"/>
  <c r="P23"/>
  <c r="P33" s="1"/>
  <c r="N23"/>
  <c r="N33" s="1"/>
  <c r="L23"/>
  <c r="L33" s="1"/>
  <c r="J23"/>
  <c r="J33" s="1"/>
  <c r="P15"/>
  <c r="N15"/>
  <c r="L15"/>
  <c r="L16" s="1"/>
  <c r="L52" s="1"/>
  <c r="J15"/>
  <c r="J9"/>
  <c r="W28" i="55" l="1"/>
  <c r="E28" i="68"/>
  <c r="W28" s="1"/>
  <c r="V28" i="55"/>
  <c r="D28" i="68"/>
  <c r="V28" s="1"/>
  <c r="U28" i="55"/>
  <c r="C28" i="68"/>
  <c r="U28" s="1"/>
  <c r="G28" i="4"/>
  <c r="J24" i="17" s="1"/>
  <c r="G15" i="20"/>
  <c r="H34"/>
  <c r="H15" s="1"/>
  <c r="G16"/>
  <c r="H35"/>
  <c r="H16" s="1"/>
  <c r="H36"/>
  <c r="H17" s="1"/>
  <c r="G17"/>
  <c r="K110"/>
  <c r="L34" i="49"/>
  <c r="L46"/>
  <c r="L9"/>
  <c r="L37" s="1"/>
  <c r="L58" s="1"/>
  <c r="N8"/>
  <c r="K37"/>
  <c r="K58" s="1"/>
  <c r="J9"/>
  <c r="J37" s="1"/>
  <c r="J58" s="1"/>
  <c r="J60" s="1"/>
  <c r="J46"/>
  <c r="M8"/>
  <c r="N17" i="51"/>
  <c r="L17"/>
  <c r="J10"/>
  <c r="P16"/>
  <c r="P52" s="1"/>
  <c r="J16"/>
  <c r="J52" s="1"/>
  <c r="N16"/>
  <c r="N52" s="1"/>
  <c r="J61" i="49" l="1"/>
  <c r="J51"/>
  <c r="N9"/>
  <c r="N37" s="1"/>
  <c r="N58" s="1"/>
  <c r="P8"/>
  <c r="N46"/>
  <c r="O8"/>
  <c r="M46"/>
  <c r="M51" s="1"/>
  <c r="M9"/>
  <c r="M37" s="1"/>
  <c r="M58" s="1"/>
  <c r="L51"/>
  <c r="L60"/>
  <c r="P17" i="51"/>
  <c r="J17"/>
  <c r="N51" i="49" l="1"/>
  <c r="N60"/>
  <c r="P46"/>
  <c r="P9"/>
  <c r="P37" s="1"/>
  <c r="P58" s="1"/>
  <c r="O9"/>
  <c r="O37" s="1"/>
  <c r="O58" s="1"/>
  <c r="Q8"/>
  <c r="O46"/>
  <c r="O51" s="1"/>
  <c r="L61"/>
  <c r="L9" i="51"/>
  <c r="J50"/>
  <c r="L46" s="1"/>
  <c r="J45"/>
  <c r="L41" s="1"/>
  <c r="L45" s="1"/>
  <c r="N41" s="1"/>
  <c r="L38"/>
  <c r="J36"/>
  <c r="Q46" i="49" l="1"/>
  <c r="Q51" s="1"/>
  <c r="Q9"/>
  <c r="Q37" s="1"/>
  <c r="Q58" s="1"/>
  <c r="P60"/>
  <c r="N61"/>
  <c r="P51"/>
  <c r="N9" i="51"/>
  <c r="L10"/>
  <c r="N45"/>
  <c r="P41" s="1"/>
  <c r="L50"/>
  <c r="N46" s="1"/>
  <c r="N50" s="1"/>
  <c r="P46" s="1"/>
  <c r="P61" i="49" l="1"/>
  <c r="P9" i="51"/>
  <c r="P50" s="1"/>
  <c r="L36"/>
  <c r="N10" s="1"/>
  <c r="N38"/>
  <c r="N36" l="1"/>
  <c r="P10" s="1"/>
  <c r="P36" s="1"/>
  <c r="P38"/>
  <c r="P45"/>
  <c r="F17" i="52" l="1"/>
  <c r="F19" i="20"/>
  <c r="F20" s="1"/>
  <c r="F21" s="1"/>
  <c r="F22" s="1"/>
  <c r="E19"/>
  <c r="E20" s="1"/>
  <c r="E21" s="1"/>
  <c r="E22" s="1"/>
  <c r="D19"/>
  <c r="D20" s="1"/>
  <c r="D21" s="1"/>
  <c r="D22" s="1"/>
  <c r="F18"/>
  <c r="E18"/>
  <c r="D18"/>
  <c r="D43" l="1"/>
  <c r="C49" i="68"/>
  <c r="D24" i="20"/>
  <c r="D23"/>
  <c r="E23"/>
  <c r="F23"/>
  <c r="D25" l="1"/>
  <c r="P20" i="55" l="1"/>
  <c r="P22" s="1"/>
  <c r="P31" s="1"/>
  <c r="P48" s="1"/>
  <c r="P50" s="1"/>
  <c r="P20" i="68"/>
  <c r="P62" i="27"/>
  <c r="N62"/>
  <c r="L62"/>
  <c r="N50"/>
  <c r="P50"/>
  <c r="L50"/>
  <c r="G37"/>
  <c r="N62" i="33"/>
  <c r="M62"/>
  <c r="L62"/>
  <c r="P22" i="68" l="1"/>
  <c r="P31" s="1"/>
  <c r="P48" s="1"/>
  <c r="P50" s="1"/>
  <c r="L63" i="27"/>
  <c r="P63"/>
  <c r="N63"/>
  <c r="H35" i="37" l="1"/>
  <c r="G16" i="42" l="1"/>
  <c r="L28" i="4"/>
  <c r="J12" i="37"/>
  <c r="F16" i="54" l="1"/>
  <c r="G16"/>
  <c r="H16"/>
  <c r="I16"/>
  <c r="E16"/>
  <c r="J15" i="52" l="1"/>
  <c r="I15"/>
  <c r="F35" i="55" l="1"/>
  <c r="G35" s="1"/>
  <c r="F39"/>
  <c r="G39" s="1"/>
  <c r="F40"/>
  <c r="G40" s="1"/>
  <c r="F42"/>
  <c r="G42" s="1"/>
  <c r="E45"/>
  <c r="E44"/>
  <c r="E43"/>
  <c r="E38"/>
  <c r="E37"/>
  <c r="E36"/>
  <c r="E34"/>
  <c r="D45"/>
  <c r="D44"/>
  <c r="D43"/>
  <c r="D41"/>
  <c r="F41" s="1"/>
  <c r="G41" s="1"/>
  <c r="D38"/>
  <c r="D37"/>
  <c r="D36"/>
  <c r="D34"/>
  <c r="C45"/>
  <c r="C44"/>
  <c r="F44" s="1"/>
  <c r="G44" s="1"/>
  <c r="C43"/>
  <c r="C38"/>
  <c r="C37"/>
  <c r="C36"/>
  <c r="F36" l="1"/>
  <c r="G36" s="1"/>
  <c r="C46"/>
  <c r="H20" i="2" s="1"/>
  <c r="E46" i="55"/>
  <c r="J20" i="2" s="1"/>
  <c r="F34" i="55"/>
  <c r="G34" s="1"/>
  <c r="D46"/>
  <c r="I20" i="2" s="1"/>
  <c r="F45" i="55"/>
  <c r="G45" s="1"/>
  <c r="F37"/>
  <c r="G37" s="1"/>
  <c r="F38"/>
  <c r="G38" s="1"/>
  <c r="F43"/>
  <c r="G43" s="1"/>
  <c r="V46" l="1"/>
  <c r="U46"/>
  <c r="W46"/>
  <c r="D59" i="65"/>
  <c r="C54"/>
  <c r="C53"/>
  <c r="E14" l="1"/>
  <c r="E25" s="1"/>
  <c r="E62" s="1"/>
  <c r="F14"/>
  <c r="F25" s="1"/>
  <c r="F62" s="1"/>
  <c r="D14"/>
  <c r="D25" s="1"/>
  <c r="D62" s="1"/>
  <c r="N41" i="2"/>
  <c r="O26"/>
  <c r="P26"/>
  <c r="N26"/>
  <c r="H18" i="20" l="1"/>
  <c r="G18"/>
  <c r="N42" i="2" l="1"/>
  <c r="G83" i="64"/>
  <c r="H83" s="1"/>
  <c r="AE13" i="2" l="1"/>
  <c r="J35" i="37"/>
  <c r="I34"/>
  <c r="Q29" i="64" l="1"/>
  <c r="Q27"/>
  <c r="D30" s="1"/>
  <c r="R28"/>
  <c r="F54" s="1"/>
  <c r="R29"/>
  <c r="G54" s="1"/>
  <c r="R27"/>
  <c r="E54" s="1"/>
  <c r="R26"/>
  <c r="D54" s="1"/>
  <c r="G30" l="1"/>
  <c r="F30"/>
  <c r="H30"/>
  <c r="H54"/>
  <c r="Q26" l="1"/>
  <c r="Q20"/>
  <c r="Q28" s="1"/>
  <c r="F84"/>
  <c r="G84" s="1"/>
  <c r="H84" s="1"/>
  <c r="E84"/>
  <c r="D84"/>
  <c r="N17"/>
  <c r="N20" s="1"/>
  <c r="M17"/>
  <c r="M20" s="1"/>
  <c r="L17"/>
  <c r="B7"/>
  <c r="B6"/>
  <c r="L19" l="1"/>
  <c r="D63"/>
  <c r="E30"/>
  <c r="N19"/>
  <c r="N18"/>
  <c r="E63"/>
  <c r="L20"/>
  <c r="M18"/>
  <c r="L18"/>
  <c r="M19"/>
  <c r="D41" s="1"/>
  <c r="C23" i="62"/>
  <c r="E22"/>
  <c r="E19"/>
  <c r="E18"/>
  <c r="E17"/>
  <c r="E14"/>
  <c r="E13"/>
  <c r="E12"/>
  <c r="E11"/>
  <c r="C21" i="61"/>
  <c r="E20"/>
  <c r="E17"/>
  <c r="E16"/>
  <c r="E15"/>
  <c r="E14"/>
  <c r="E13"/>
  <c r="E12"/>
  <c r="E11"/>
  <c r="C24" i="60"/>
  <c r="E23"/>
  <c r="E20"/>
  <c r="E21"/>
  <c r="E19"/>
  <c r="E18"/>
  <c r="E17"/>
  <c r="E16"/>
  <c r="E15"/>
  <c r="E14"/>
  <c r="E13"/>
  <c r="E12"/>
  <c r="L11"/>
  <c r="E11"/>
  <c r="D67" i="64" l="1"/>
  <c r="D72" s="1"/>
  <c r="D73" s="1"/>
  <c r="E67" s="1"/>
  <c r="D27"/>
  <c r="E21" i="61"/>
  <c r="H15" i="42"/>
  <c r="E23" i="62"/>
  <c r="I15" i="42"/>
  <c r="E24" i="60"/>
  <c r="G15" i="42"/>
  <c r="N21" i="64"/>
  <c r="E41"/>
  <c r="L21"/>
  <c r="M21"/>
  <c r="J16" i="52"/>
  <c r="I16"/>
  <c r="D31" i="64" l="1"/>
  <c r="D32" s="1"/>
  <c r="D79" s="1"/>
  <c r="D80"/>
  <c r="E72"/>
  <c r="E73" s="1"/>
  <c r="N12" l="1"/>
  <c r="L13" s="1"/>
  <c r="E27"/>
  <c r="O42" i="2"/>
  <c r="F67" i="64"/>
  <c r="E80"/>
  <c r="E32" l="1"/>
  <c r="E31"/>
  <c r="F72"/>
  <c r="F73" s="1"/>
  <c r="E79" l="1"/>
  <c r="F27"/>
  <c r="O12"/>
  <c r="G67"/>
  <c r="F80"/>
  <c r="F32" l="1"/>
  <c r="F31"/>
  <c r="G73"/>
  <c r="F79" l="1"/>
  <c r="G27"/>
  <c r="P12"/>
  <c r="H67"/>
  <c r="G80"/>
  <c r="G31" l="1"/>
  <c r="G32" s="1"/>
  <c r="G79" s="1"/>
  <c r="H73"/>
  <c r="Q12" l="1"/>
  <c r="H27"/>
  <c r="H80"/>
  <c r="H31" l="1"/>
  <c r="H32" s="1"/>
  <c r="H79" s="1"/>
  <c r="R12" l="1"/>
  <c r="E111" i="20"/>
  <c r="G111" s="1"/>
  <c r="E108"/>
  <c r="H108"/>
  <c r="E109"/>
  <c r="E110"/>
  <c r="G110" s="1"/>
  <c r="E105"/>
  <c r="H105"/>
  <c r="E106"/>
  <c r="H106"/>
  <c r="E107"/>
  <c r="H107"/>
  <c r="H74"/>
  <c r="H75"/>
  <c r="H76"/>
  <c r="H77"/>
  <c r="H78"/>
  <c r="H79"/>
  <c r="H80"/>
  <c r="H81"/>
  <c r="H82"/>
  <c r="H83"/>
  <c r="H84"/>
  <c r="H85"/>
  <c r="H86"/>
  <c r="H87"/>
  <c r="H88"/>
  <c r="H89"/>
  <c r="H90"/>
  <c r="H91"/>
  <c r="H92"/>
  <c r="H93"/>
  <c r="H94"/>
  <c r="H95"/>
  <c r="H96"/>
  <c r="H97"/>
  <c r="H98"/>
  <c r="H99"/>
  <c r="H100"/>
  <c r="H101"/>
  <c r="H102"/>
  <c r="H103"/>
  <c r="H104"/>
  <c r="E112" l="1"/>
  <c r="G109"/>
  <c r="J110" s="1"/>
  <c r="K18" i="33" l="1"/>
  <c r="K22"/>
  <c r="G33" i="20" l="1"/>
  <c r="K35" i="17"/>
  <c r="K37" s="1"/>
  <c r="D16" i="4"/>
  <c r="E16" s="1"/>
  <c r="F16" s="1"/>
  <c r="G16" s="1"/>
  <c r="H16" s="1"/>
  <c r="D18"/>
  <c r="E18" s="1"/>
  <c r="F18" s="1"/>
  <c r="G18" s="1"/>
  <c r="H18" s="1"/>
  <c r="G19" i="20" l="1"/>
  <c r="G20" s="1"/>
  <c r="G21" s="1"/>
  <c r="G22" s="1"/>
  <c r="G23" s="1"/>
  <c r="G14"/>
  <c r="H33"/>
  <c r="H14" s="1"/>
  <c r="H19" s="1"/>
  <c r="H20" s="1"/>
  <c r="H21" s="1"/>
  <c r="H22" s="1"/>
  <c r="H23" s="1"/>
  <c r="J23" i="23"/>
  <c r="J13" l="1"/>
  <c r="N17" i="37"/>
  <c r="M16"/>
  <c r="N16"/>
  <c r="M17"/>
  <c r="N77" i="33" l="1"/>
  <c r="L21" i="37" s="1"/>
  <c r="L77" i="33"/>
  <c r="J21" i="37" s="1"/>
  <c r="N72" i="33"/>
  <c r="L16" i="37" s="1"/>
  <c r="L72" i="33"/>
  <c r="J16" i="37" s="1"/>
  <c r="K72" i="33"/>
  <c r="I16" i="37" s="1"/>
  <c r="J72" i="33"/>
  <c r="H16" i="37" s="1"/>
  <c r="L70" i="33"/>
  <c r="J14" i="37" s="1"/>
  <c r="N51" i="33"/>
  <c r="N73" s="1"/>
  <c r="L17" i="37" s="1"/>
  <c r="L51" i="33"/>
  <c r="L73" s="1"/>
  <c r="J17" i="37" s="1"/>
  <c r="K44" i="33"/>
  <c r="K40"/>
  <c r="K33"/>
  <c r="K29"/>
  <c r="K73" s="1"/>
  <c r="I17" i="37" s="1"/>
  <c r="J22" i="33"/>
  <c r="J77" s="1"/>
  <c r="J18"/>
  <c r="J73" s="1"/>
  <c r="H17" i="37" s="1"/>
  <c r="L12" i="33"/>
  <c r="G22" i="42"/>
  <c r="H17" i="23" s="1"/>
  <c r="K77" i="33" l="1"/>
  <c r="I21" i="37" s="1"/>
  <c r="H21"/>
  <c r="M72" i="33"/>
  <c r="K16" i="37" s="1"/>
  <c r="M73" i="33"/>
  <c r="K17" i="37" s="1"/>
  <c r="M77" i="33" l="1"/>
  <c r="K21" i="37" s="1"/>
  <c r="K23" i="23"/>
  <c r="J35" i="17"/>
  <c r="J37" s="1"/>
  <c r="I35"/>
  <c r="I37" s="1"/>
  <c r="H35"/>
  <c r="H37" s="1"/>
  <c r="G35"/>
  <c r="G37" s="1"/>
  <c r="D27" i="2"/>
  <c r="D14" i="17" l="1"/>
  <c r="C14" s="1"/>
  <c r="F14" l="1"/>
  <c r="F17"/>
  <c r="F16" s="1"/>
  <c r="E14" l="1"/>
  <c r="D16"/>
  <c r="C17"/>
  <c r="C16" s="1"/>
  <c r="D17"/>
  <c r="E17"/>
  <c r="E16" s="1"/>
  <c r="E37" i="20" l="1"/>
  <c r="F37"/>
  <c r="G37"/>
  <c r="H37"/>
  <c r="E38"/>
  <c r="E39" s="1"/>
  <c r="E40" s="1"/>
  <c r="E41" s="1"/>
  <c r="F38"/>
  <c r="F39" s="1"/>
  <c r="F40" s="1"/>
  <c r="F41" s="1"/>
  <c r="F42" s="1"/>
  <c r="G38"/>
  <c r="G39" s="1"/>
  <c r="G40" s="1"/>
  <c r="G41" s="1"/>
  <c r="G42" s="1"/>
  <c r="H38"/>
  <c r="H39" s="1"/>
  <c r="H40" s="1"/>
  <c r="H41" s="1"/>
  <c r="H42" s="1"/>
  <c r="E42" l="1"/>
  <c r="F26" i="42" l="1"/>
  <c r="C14" l="1"/>
  <c r="D22" i="57" l="1"/>
  <c r="E78" i="20"/>
  <c r="E95" l="1"/>
  <c r="E94"/>
  <c r="E104"/>
  <c r="E103"/>
  <c r="E102"/>
  <c r="E101"/>
  <c r="E100"/>
  <c r="E99"/>
  <c r="E98"/>
  <c r="E97"/>
  <c r="E96"/>
  <c r="K49" i="27" l="1"/>
  <c r="M49" s="1"/>
  <c r="Q49" s="1"/>
  <c r="G46" i="55" l="1"/>
  <c r="L20" i="2" s="1"/>
  <c r="F46" i="55"/>
  <c r="K20" i="2" s="1"/>
  <c r="G14" i="65" l="1"/>
  <c r="G25" s="1"/>
  <c r="G62" s="1"/>
  <c r="Q26" i="2"/>
  <c r="H14" i="65"/>
  <c r="H25" s="1"/>
  <c r="H62" s="1"/>
  <c r="R26" i="2"/>
  <c r="H73" i="20"/>
  <c r="E73"/>
  <c r="E93"/>
  <c r="E74"/>
  <c r="E75"/>
  <c r="G75" s="1"/>
  <c r="E76"/>
  <c r="E77"/>
  <c r="E79"/>
  <c r="E80"/>
  <c r="G80" s="1"/>
  <c r="E81"/>
  <c r="E82"/>
  <c r="E83"/>
  <c r="E84"/>
  <c r="G84" s="1"/>
  <c r="E85"/>
  <c r="E86"/>
  <c r="E87"/>
  <c r="E88"/>
  <c r="G88" s="1"/>
  <c r="E89"/>
  <c r="E90"/>
  <c r="E91"/>
  <c r="E92"/>
  <c r="G92" s="1"/>
  <c r="E72"/>
  <c r="G78" l="1"/>
  <c r="G106"/>
  <c r="G107"/>
  <c r="G105"/>
  <c r="G108"/>
  <c r="G90"/>
  <c r="G86"/>
  <c r="G82"/>
  <c r="G77"/>
  <c r="G93"/>
  <c r="G91"/>
  <c r="G87"/>
  <c r="G83"/>
  <c r="G79"/>
  <c r="G74"/>
  <c r="G89"/>
  <c r="G85"/>
  <c r="G81"/>
  <c r="G76"/>
  <c r="G73"/>
  <c r="K111"/>
  <c r="G103"/>
  <c r="G99"/>
  <c r="G94"/>
  <c r="G100"/>
  <c r="G101"/>
  <c r="G96"/>
  <c r="G98"/>
  <c r="G104"/>
  <c r="G102"/>
  <c r="G97"/>
  <c r="G95"/>
  <c r="G17" i="52"/>
  <c r="H17"/>
  <c r="I17"/>
  <c r="J17"/>
  <c r="E49" i="68" l="1"/>
  <c r="D49"/>
  <c r="F49"/>
  <c r="G49"/>
  <c r="E24" i="20"/>
  <c r="E25" s="1"/>
  <c r="Q20" i="55" s="1"/>
  <c r="E43" i="20"/>
  <c r="E44" s="1"/>
  <c r="F43"/>
  <c r="F44" s="1"/>
  <c r="F49" s="1"/>
  <c r="F24"/>
  <c r="F25" s="1"/>
  <c r="R20" i="55" s="1"/>
  <c r="J111" i="20"/>
  <c r="G24"/>
  <c r="G25" s="1"/>
  <c r="G43"/>
  <c r="G44" s="1"/>
  <c r="H24"/>
  <c r="H25" s="1"/>
  <c r="H43"/>
  <c r="H44" s="1"/>
  <c r="D49" i="55"/>
  <c r="I45" i="2" s="1"/>
  <c r="E64" i="65"/>
  <c r="G14" i="54"/>
  <c r="F64" i="65"/>
  <c r="G49" i="55"/>
  <c r="L45" i="2" s="1"/>
  <c r="L52" s="1"/>
  <c r="H64" i="65"/>
  <c r="F49" i="55"/>
  <c r="K45" i="2" s="1"/>
  <c r="K52" s="1"/>
  <c r="G64" i="65"/>
  <c r="C49" i="55"/>
  <c r="H45" i="2" s="1"/>
  <c r="D64" i="65"/>
  <c r="E49" i="55"/>
  <c r="J45" i="2" s="1"/>
  <c r="J52" s="1"/>
  <c r="E14" i="54"/>
  <c r="F14"/>
  <c r="I14"/>
  <c r="H14"/>
  <c r="B23" i="57"/>
  <c r="C21" i="55" s="1"/>
  <c r="E22" i="57"/>
  <c r="F22"/>
  <c r="C21"/>
  <c r="D21" s="1"/>
  <c r="C20"/>
  <c r="C23" s="1"/>
  <c r="D21" i="55" s="1"/>
  <c r="D37" i="57"/>
  <c r="E37"/>
  <c r="F37"/>
  <c r="B36"/>
  <c r="B37" s="1"/>
  <c r="C36"/>
  <c r="C37" s="1"/>
  <c r="A36"/>
  <c r="C15"/>
  <c r="C16" s="1"/>
  <c r="D15"/>
  <c r="E15" s="1"/>
  <c r="F15" s="1"/>
  <c r="F16" s="1"/>
  <c r="B15"/>
  <c r="B16" s="1"/>
  <c r="F50" i="20" l="1"/>
  <c r="F31" i="65"/>
  <c r="E49" i="20"/>
  <c r="E31" i="65" s="1"/>
  <c r="Q20" i="68"/>
  <c r="Q22" i="55"/>
  <c r="Q31" s="1"/>
  <c r="Q48" s="1"/>
  <c r="Q50" s="1"/>
  <c r="S20"/>
  <c r="S22" s="1"/>
  <c r="S31" s="1"/>
  <c r="S48" s="1"/>
  <c r="S50" s="1"/>
  <c r="T20"/>
  <c r="T22" s="1"/>
  <c r="T31" s="1"/>
  <c r="T48" s="1"/>
  <c r="T50" s="1"/>
  <c r="R20" i="68"/>
  <c r="R22" i="55"/>
  <c r="R31" s="1"/>
  <c r="R48" s="1"/>
  <c r="R50" s="1"/>
  <c r="H49" i="20"/>
  <c r="H31" i="65" s="1"/>
  <c r="H58" s="1"/>
  <c r="G49" i="20"/>
  <c r="G31" i="65" s="1"/>
  <c r="G58" s="1"/>
  <c r="E21" i="57"/>
  <c r="F21" s="1"/>
  <c r="D20"/>
  <c r="D23" s="1"/>
  <c r="F29"/>
  <c r="F28"/>
  <c r="D16"/>
  <c r="E16"/>
  <c r="E50" i="20" l="1"/>
  <c r="F58" i="65"/>
  <c r="Q22" i="68"/>
  <c r="Q31" s="1"/>
  <c r="Q48" s="1"/>
  <c r="Q50" s="1"/>
  <c r="R22"/>
  <c r="R31" s="1"/>
  <c r="R48" s="1"/>
  <c r="R50" s="1"/>
  <c r="E58" i="65"/>
  <c r="H50" i="20"/>
  <c r="G50"/>
  <c r="M22" i="57"/>
  <c r="M23" s="1"/>
  <c r="M25" s="1"/>
  <c r="M26" s="1"/>
  <c r="E20"/>
  <c r="E29"/>
  <c r="E28"/>
  <c r="D29"/>
  <c r="D28"/>
  <c r="D27" l="1"/>
  <c r="D31" s="1"/>
  <c r="F20"/>
  <c r="F23" s="1"/>
  <c r="E23"/>
  <c r="E27" l="1"/>
  <c r="E31" s="1"/>
  <c r="F27"/>
  <c r="F31" s="1"/>
  <c r="K16" i="40" l="1"/>
  <c r="L16" s="1"/>
  <c r="K17"/>
  <c r="M17" s="1"/>
  <c r="O17" s="1"/>
  <c r="K18"/>
  <c r="L18" s="1"/>
  <c r="K19"/>
  <c r="K20"/>
  <c r="L20" s="1"/>
  <c r="K21"/>
  <c r="M21" s="1"/>
  <c r="O21" s="1"/>
  <c r="K22"/>
  <c r="L22" s="1"/>
  <c r="K23"/>
  <c r="L23" s="1"/>
  <c r="K24"/>
  <c r="L24" s="1"/>
  <c r="K28"/>
  <c r="L28" s="1"/>
  <c r="K29"/>
  <c r="M29" s="1"/>
  <c r="O29" s="1"/>
  <c r="K30"/>
  <c r="M30" s="1"/>
  <c r="N30" s="1"/>
  <c r="K31"/>
  <c r="L31" s="1"/>
  <c r="K32"/>
  <c r="L32" s="1"/>
  <c r="K33"/>
  <c r="M33" s="1"/>
  <c r="O33" s="1"/>
  <c r="K35"/>
  <c r="L35" s="1"/>
  <c r="K14"/>
  <c r="L14" s="1"/>
  <c r="N87"/>
  <c r="O87"/>
  <c r="P87"/>
  <c r="K25"/>
  <c r="K27"/>
  <c r="M26"/>
  <c r="O26" s="1"/>
  <c r="K15"/>
  <c r="P97"/>
  <c r="O97"/>
  <c r="M87"/>
  <c r="P98" l="1"/>
  <c r="L21"/>
  <c r="L30"/>
  <c r="M22"/>
  <c r="N22" s="1"/>
  <c r="M18"/>
  <c r="O18" s="1"/>
  <c r="P29"/>
  <c r="M25"/>
  <c r="O25" s="1"/>
  <c r="L25"/>
  <c r="P21"/>
  <c r="P17"/>
  <c r="L15"/>
  <c r="M15"/>
  <c r="O15" s="1"/>
  <c r="L27"/>
  <c r="M27"/>
  <c r="O27" s="1"/>
  <c r="P33"/>
  <c r="K37"/>
  <c r="L34"/>
  <c r="L29"/>
  <c r="M32"/>
  <c r="O32" s="1"/>
  <c r="M16"/>
  <c r="O16" s="1"/>
  <c r="N33"/>
  <c r="N17"/>
  <c r="O30"/>
  <c r="P30" s="1"/>
  <c r="L33"/>
  <c r="L17"/>
  <c r="M14"/>
  <c r="N14" s="1"/>
  <c r="M31"/>
  <c r="O31" s="1"/>
  <c r="M20"/>
  <c r="O20" s="1"/>
  <c r="N21"/>
  <c r="M35"/>
  <c r="O35" s="1"/>
  <c r="M24"/>
  <c r="O24" s="1"/>
  <c r="M19"/>
  <c r="O19" s="1"/>
  <c r="L19"/>
  <c r="N34"/>
  <c r="M28"/>
  <c r="O28" s="1"/>
  <c r="M23"/>
  <c r="O23" s="1"/>
  <c r="N29"/>
  <c r="N125"/>
  <c r="M125"/>
  <c r="O98"/>
  <c r="O125"/>
  <c r="N97"/>
  <c r="N98" s="1"/>
  <c r="M97"/>
  <c r="M98" s="1"/>
  <c r="D13" i="23"/>
  <c r="C32" i="17" s="1"/>
  <c r="E13" i="23"/>
  <c r="F13"/>
  <c r="G13"/>
  <c r="H22" i="42"/>
  <c r="I22"/>
  <c r="L17" i="23" s="1"/>
  <c r="J22" i="42"/>
  <c r="M17" i="23" s="1"/>
  <c r="K22" i="42"/>
  <c r="N17" i="23" s="1"/>
  <c r="O22" i="40" l="1"/>
  <c r="P22" s="1"/>
  <c r="N18"/>
  <c r="N16"/>
  <c r="K17" i="23"/>
  <c r="J17"/>
  <c r="I17"/>
  <c r="N31" i="40"/>
  <c r="N32"/>
  <c r="N24"/>
  <c r="N19"/>
  <c r="P23"/>
  <c r="P28"/>
  <c r="P19"/>
  <c r="N23"/>
  <c r="P20"/>
  <c r="P16"/>
  <c r="P27"/>
  <c r="P34"/>
  <c r="P24"/>
  <c r="P31"/>
  <c r="N15"/>
  <c r="N25"/>
  <c r="N20"/>
  <c r="P35"/>
  <c r="M37"/>
  <c r="O14"/>
  <c r="N28"/>
  <c r="P32"/>
  <c r="N35"/>
  <c r="P18"/>
  <c r="N27"/>
  <c r="P15"/>
  <c r="P25"/>
  <c r="D26" i="4"/>
  <c r="E26" s="1"/>
  <c r="F26" s="1"/>
  <c r="G26" s="1"/>
  <c r="H26" s="1"/>
  <c r="D23"/>
  <c r="E23" s="1"/>
  <c r="F23" s="1"/>
  <c r="G23" s="1"/>
  <c r="H23" s="1"/>
  <c r="D24"/>
  <c r="E24" s="1"/>
  <c r="F24" s="1"/>
  <c r="G24" s="1"/>
  <c r="H24" s="1"/>
  <c r="D17"/>
  <c r="D15"/>
  <c r="E15" s="1"/>
  <c r="D14"/>
  <c r="E14" s="1"/>
  <c r="F14" s="1"/>
  <c r="G14" s="1"/>
  <c r="H14" s="1"/>
  <c r="D13"/>
  <c r="G26" i="42" s="1"/>
  <c r="E13" i="54" l="1"/>
  <c r="E13" i="4"/>
  <c r="H26" i="42" s="1"/>
  <c r="F15" i="4"/>
  <c r="F13" i="54"/>
  <c r="E17" i="4"/>
  <c r="O37" i="40"/>
  <c r="P14"/>
  <c r="M38"/>
  <c r="M45"/>
  <c r="F15" i="54" l="1"/>
  <c r="F17" s="1"/>
  <c r="D27" i="55" s="1"/>
  <c r="E15" i="54"/>
  <c r="E17" s="1"/>
  <c r="C27" i="55" s="1"/>
  <c r="O38" i="40"/>
  <c r="N45"/>
  <c r="G15" i="4"/>
  <c r="H13" i="54" s="1"/>
  <c r="H15" s="1"/>
  <c r="G13"/>
  <c r="F13" i="4"/>
  <c r="I26" i="42" s="1"/>
  <c r="F17" i="4"/>
  <c r="E47" i="65" l="1"/>
  <c r="E60" s="1"/>
  <c r="D27" i="68"/>
  <c r="C27"/>
  <c r="D47" i="65"/>
  <c r="D60" s="1"/>
  <c r="I32" i="2"/>
  <c r="G15" i="54"/>
  <c r="G17" s="1"/>
  <c r="E27" i="55" s="1"/>
  <c r="H32" i="2"/>
  <c r="G17" i="4"/>
  <c r="H15"/>
  <c r="I13" i="54" s="1"/>
  <c r="H17"/>
  <c r="F27" i="68" s="1"/>
  <c r="I25" i="2"/>
  <c r="H14" i="17" s="1"/>
  <c r="G13" i="4"/>
  <c r="J26" i="42" s="1"/>
  <c r="P67" i="35"/>
  <c r="P65"/>
  <c r="P64"/>
  <c r="P63"/>
  <c r="P61"/>
  <c r="P60"/>
  <c r="P59"/>
  <c r="P58"/>
  <c r="P57"/>
  <c r="P56"/>
  <c r="P55"/>
  <c r="P54"/>
  <c r="P53"/>
  <c r="P52"/>
  <c r="P51"/>
  <c r="P49"/>
  <c r="P48"/>
  <c r="P47"/>
  <c r="P46"/>
  <c r="P45"/>
  <c r="P44"/>
  <c r="P43"/>
  <c r="P42"/>
  <c r="P41"/>
  <c r="P40"/>
  <c r="P39"/>
  <c r="P38"/>
  <c r="P37"/>
  <c r="P36"/>
  <c r="P35"/>
  <c r="P34"/>
  <c r="P33"/>
  <c r="P32"/>
  <c r="P30"/>
  <c r="P22"/>
  <c r="O50"/>
  <c r="O62"/>
  <c r="P62" s="1"/>
  <c r="O66"/>
  <c r="M67"/>
  <c r="M65"/>
  <c r="M64"/>
  <c r="M63"/>
  <c r="M61"/>
  <c r="M60"/>
  <c r="M59"/>
  <c r="M58"/>
  <c r="M57"/>
  <c r="M56"/>
  <c r="M55"/>
  <c r="M54"/>
  <c r="M53"/>
  <c r="M52"/>
  <c r="M51"/>
  <c r="M49"/>
  <c r="M48"/>
  <c r="M47"/>
  <c r="M46"/>
  <c r="M45"/>
  <c r="M44"/>
  <c r="M43"/>
  <c r="M42"/>
  <c r="M41"/>
  <c r="M40"/>
  <c r="M39"/>
  <c r="M38"/>
  <c r="M37"/>
  <c r="M36"/>
  <c r="M35"/>
  <c r="M34"/>
  <c r="M33"/>
  <c r="M32"/>
  <c r="M30"/>
  <c r="M22"/>
  <c r="L50"/>
  <c r="L66"/>
  <c r="L62"/>
  <c r="M62" s="1"/>
  <c r="J65"/>
  <c r="J64"/>
  <c r="J61"/>
  <c r="J60"/>
  <c r="J59"/>
  <c r="J58"/>
  <c r="J57"/>
  <c r="J56"/>
  <c r="J55"/>
  <c r="J54"/>
  <c r="J53"/>
  <c r="J52"/>
  <c r="J49"/>
  <c r="J48"/>
  <c r="J47"/>
  <c r="J46"/>
  <c r="J45"/>
  <c r="J44"/>
  <c r="J43"/>
  <c r="J42"/>
  <c r="J41"/>
  <c r="J40"/>
  <c r="J39"/>
  <c r="J38"/>
  <c r="J37"/>
  <c r="J36"/>
  <c r="J35"/>
  <c r="J34"/>
  <c r="J33"/>
  <c r="J32"/>
  <c r="J30"/>
  <c r="J22"/>
  <c r="I66"/>
  <c r="I62"/>
  <c r="J62" s="1"/>
  <c r="I50"/>
  <c r="G49"/>
  <c r="G48"/>
  <c r="G47"/>
  <c r="G46"/>
  <c r="G45"/>
  <c r="G44"/>
  <c r="G42"/>
  <c r="G41"/>
  <c r="G40"/>
  <c r="G39"/>
  <c r="G38"/>
  <c r="G37"/>
  <c r="G36"/>
  <c r="G35"/>
  <c r="G34"/>
  <c r="G33"/>
  <c r="G32"/>
  <c r="G22"/>
  <c r="E70"/>
  <c r="F70" s="1"/>
  <c r="I64" i="47"/>
  <c r="G64"/>
  <c r="L66" s="1"/>
  <c r="E64"/>
  <c r="D64"/>
  <c r="C64"/>
  <c r="H63"/>
  <c r="F63"/>
  <c r="H62"/>
  <c r="F62"/>
  <c r="J62" s="1"/>
  <c r="H61"/>
  <c r="J61" s="1"/>
  <c r="F61"/>
  <c r="H60"/>
  <c r="F60"/>
  <c r="J60" s="1"/>
  <c r="H59"/>
  <c r="F59"/>
  <c r="H58"/>
  <c r="F58"/>
  <c r="J58" s="1"/>
  <c r="H57"/>
  <c r="F57"/>
  <c r="H56"/>
  <c r="F56"/>
  <c r="J56" s="1"/>
  <c r="H55"/>
  <c r="F55"/>
  <c r="H54"/>
  <c r="F54"/>
  <c r="J54" s="1"/>
  <c r="I52"/>
  <c r="G52"/>
  <c r="E52"/>
  <c r="D52"/>
  <c r="D65" s="1"/>
  <c r="H51"/>
  <c r="F51"/>
  <c r="H50"/>
  <c r="F50"/>
  <c r="H49"/>
  <c r="F49"/>
  <c r="H48"/>
  <c r="F48"/>
  <c r="H47"/>
  <c r="F47"/>
  <c r="J47" s="1"/>
  <c r="H46"/>
  <c r="F46"/>
  <c r="J46" s="1"/>
  <c r="H45"/>
  <c r="F45"/>
  <c r="J45" s="1"/>
  <c r="H44"/>
  <c r="F44"/>
  <c r="H43"/>
  <c r="F43"/>
  <c r="J43" s="1"/>
  <c r="H42"/>
  <c r="F42"/>
  <c r="H41"/>
  <c r="F41"/>
  <c r="J41" s="1"/>
  <c r="H40"/>
  <c r="F40"/>
  <c r="H39"/>
  <c r="F39"/>
  <c r="J39" s="1"/>
  <c r="C39"/>
  <c r="C52" s="1"/>
  <c r="H38"/>
  <c r="F38"/>
  <c r="H37"/>
  <c r="F37"/>
  <c r="H36"/>
  <c r="F36"/>
  <c r="H35"/>
  <c r="F35"/>
  <c r="H34"/>
  <c r="F34"/>
  <c r="H33"/>
  <c r="F33"/>
  <c r="H32"/>
  <c r="F32"/>
  <c r="H31"/>
  <c r="F31"/>
  <c r="H29"/>
  <c r="F29"/>
  <c r="C28"/>
  <c r="C29" s="1"/>
  <c r="H21"/>
  <c r="F21"/>
  <c r="C18"/>
  <c r="C21" s="1"/>
  <c r="J21" s="1"/>
  <c r="U27" i="68" l="1"/>
  <c r="U29" s="1"/>
  <c r="C29"/>
  <c r="F47" i="65"/>
  <c r="F60" s="1"/>
  <c r="E27" i="68"/>
  <c r="D29"/>
  <c r="V27"/>
  <c r="F29"/>
  <c r="X27"/>
  <c r="X29" s="1"/>
  <c r="C29" i="55"/>
  <c r="U27"/>
  <c r="U29" s="1"/>
  <c r="D29"/>
  <c r="V27"/>
  <c r="V29" s="1"/>
  <c r="J32" i="2"/>
  <c r="J55" i="47"/>
  <c r="J32"/>
  <c r="J34"/>
  <c r="J36"/>
  <c r="J38"/>
  <c r="I15" i="54"/>
  <c r="I17" s="1"/>
  <c r="G27" i="68" s="1"/>
  <c r="F27" i="55"/>
  <c r="F29" s="1"/>
  <c r="K32" i="2"/>
  <c r="J33" i="47"/>
  <c r="G65"/>
  <c r="J29"/>
  <c r="H52"/>
  <c r="J35"/>
  <c r="J37"/>
  <c r="J40"/>
  <c r="J50"/>
  <c r="J57"/>
  <c r="J59"/>
  <c r="J63"/>
  <c r="E65"/>
  <c r="H13" i="4"/>
  <c r="K26" i="42" s="1"/>
  <c r="I27" i="2"/>
  <c r="G18" i="52"/>
  <c r="G19" s="1"/>
  <c r="D20" i="55" s="1"/>
  <c r="J25" i="2"/>
  <c r="I14" i="17" s="1"/>
  <c r="H21"/>
  <c r="H17" i="4"/>
  <c r="K25" i="2"/>
  <c r="J14" i="17" s="1"/>
  <c r="J31" i="47"/>
  <c r="J44"/>
  <c r="J48"/>
  <c r="J64"/>
  <c r="I65"/>
  <c r="I77" s="1"/>
  <c r="F52"/>
  <c r="J42"/>
  <c r="J49"/>
  <c r="H64"/>
  <c r="H65" s="1"/>
  <c r="O68" i="35"/>
  <c r="L68"/>
  <c r="I68"/>
  <c r="F64" i="47"/>
  <c r="C65"/>
  <c r="I37" i="40"/>
  <c r="D22" i="55" l="1"/>
  <c r="D20" i="68"/>
  <c r="V20" i="55"/>
  <c r="V22" s="1"/>
  <c r="E29" i="68"/>
  <c r="W27"/>
  <c r="Y27"/>
  <c r="Y29" s="1"/>
  <c r="G29"/>
  <c r="E29" i="55"/>
  <c r="W27"/>
  <c r="W29" s="1"/>
  <c r="G27"/>
  <c r="G29" s="1"/>
  <c r="L32" i="2"/>
  <c r="K38" i="40"/>
  <c r="L45"/>
  <c r="H18" i="52"/>
  <c r="H19" s="1"/>
  <c r="E20" i="55" s="1"/>
  <c r="J27" i="2"/>
  <c r="L25"/>
  <c r="K14" i="17" s="1"/>
  <c r="I21"/>
  <c r="J52" i="47"/>
  <c r="J65" s="1"/>
  <c r="F65"/>
  <c r="I47" i="2"/>
  <c r="I26"/>
  <c r="E50"/>
  <c r="E52"/>
  <c r="E22" i="55" l="1"/>
  <c r="E20" i="68"/>
  <c r="W20" i="55"/>
  <c r="W22" s="1"/>
  <c r="D22" i="68"/>
  <c r="V20"/>
  <c r="V22" s="1"/>
  <c r="H15" i="17"/>
  <c r="K21"/>
  <c r="J21"/>
  <c r="L27" i="2"/>
  <c r="J18" i="52"/>
  <c r="T20" i="68" s="1"/>
  <c r="G20" s="1"/>
  <c r="J26" i="2"/>
  <c r="J47"/>
  <c r="K27"/>
  <c r="I18" i="52"/>
  <c r="S20" i="68" s="1"/>
  <c r="F20" s="1"/>
  <c r="B25" i="45"/>
  <c r="F20" i="46"/>
  <c r="G17" s="1"/>
  <c r="B49"/>
  <c r="C17"/>
  <c r="B20" s="1"/>
  <c r="A19"/>
  <c r="A18"/>
  <c r="A17"/>
  <c r="I19" i="52" l="1"/>
  <c r="J19"/>
  <c r="E22" i="68"/>
  <c r="W20"/>
  <c r="W22" s="1"/>
  <c r="H22" i="17"/>
  <c r="I15"/>
  <c r="K26" i="2"/>
  <c r="K47"/>
  <c r="L26"/>
  <c r="L47"/>
  <c r="F22" i="55" l="1"/>
  <c r="F22" i="68"/>
  <c r="F20" i="55"/>
  <c r="S22" i="68"/>
  <c r="S31" s="1"/>
  <c r="S48" s="1"/>
  <c r="S50" s="1"/>
  <c r="X20"/>
  <c r="X22" s="1"/>
  <c r="G22"/>
  <c r="G20" i="55"/>
  <c r="G22" s="1"/>
  <c r="T22" i="68"/>
  <c r="T31" s="1"/>
  <c r="T48" s="1"/>
  <c r="T50" s="1"/>
  <c r="Y20"/>
  <c r="Y22" s="1"/>
  <c r="I22" i="17"/>
  <c r="J15"/>
  <c r="K15"/>
  <c r="K22" l="1"/>
  <c r="J22"/>
  <c r="D10" i="42" l="1"/>
  <c r="C10" i="41" s="1"/>
  <c r="E10" i="42"/>
  <c r="D10" i="41" s="1"/>
  <c r="F10" i="42"/>
  <c r="E10" i="41" s="1"/>
  <c r="C10" i="42"/>
  <c r="B10" i="41" s="1"/>
  <c r="E11" i="23"/>
  <c r="F11"/>
  <c r="G11"/>
  <c r="D11"/>
  <c r="F32" i="17"/>
  <c r="G45" i="2" s="1"/>
  <c r="E32" i="17"/>
  <c r="F45" i="2" s="1"/>
  <c r="F18" i="41"/>
  <c r="G18" s="1"/>
  <c r="H18" s="1"/>
  <c r="I18" s="1"/>
  <c r="J18" s="1"/>
  <c r="D18"/>
  <c r="C18"/>
  <c r="B18"/>
  <c r="D26" i="42"/>
  <c r="E26"/>
  <c r="C26"/>
  <c r="C22"/>
  <c r="D17" i="23" s="1"/>
  <c r="C7" i="42"/>
  <c r="D8" i="23" s="1"/>
  <c r="C6" i="42"/>
  <c r="D7" i="23" s="1"/>
  <c r="B7" i="41"/>
  <c r="B6"/>
  <c r="F31" i="24" l="1"/>
  <c r="F30"/>
  <c r="E31"/>
  <c r="E30"/>
  <c r="D33"/>
  <c r="D31"/>
  <c r="D30"/>
  <c r="D22"/>
  <c r="E22" s="1"/>
  <c r="D16"/>
  <c r="D32" l="1"/>
  <c r="E32" s="1"/>
  <c r="E12"/>
  <c r="F26" i="46" s="1"/>
  <c r="E8" i="24"/>
  <c r="E7"/>
  <c r="J35" i="40"/>
  <c r="H35"/>
  <c r="F35"/>
  <c r="E50" i="39"/>
  <c r="G50"/>
  <c r="F43" i="27"/>
  <c r="H43"/>
  <c r="G27" i="46" l="1"/>
  <c r="F27"/>
  <c r="F24"/>
  <c r="E16" i="24"/>
  <c r="F12" s="1"/>
  <c r="F16" s="1"/>
  <c r="G12" s="1"/>
  <c r="G16" s="1"/>
  <c r="B18" i="5"/>
  <c r="B22" s="1"/>
  <c r="D34" i="24"/>
  <c r="J15" i="40"/>
  <c r="J14"/>
  <c r="H15"/>
  <c r="H16"/>
  <c r="H17"/>
  <c r="H18"/>
  <c r="H19"/>
  <c r="H20"/>
  <c r="H21"/>
  <c r="H22"/>
  <c r="H23"/>
  <c r="H24"/>
  <c r="H25"/>
  <c r="H27"/>
  <c r="H28"/>
  <c r="H29"/>
  <c r="H30"/>
  <c r="H31"/>
  <c r="H32"/>
  <c r="H33"/>
  <c r="H34"/>
  <c r="H14"/>
  <c r="F15"/>
  <c r="F16"/>
  <c r="F17"/>
  <c r="F18"/>
  <c r="F19"/>
  <c r="F20"/>
  <c r="F21"/>
  <c r="F22"/>
  <c r="F23"/>
  <c r="F24"/>
  <c r="F25"/>
  <c r="F27"/>
  <c r="F28"/>
  <c r="F29"/>
  <c r="F30"/>
  <c r="F31"/>
  <c r="F32"/>
  <c r="F33"/>
  <c r="F34"/>
  <c r="F14"/>
  <c r="E37"/>
  <c r="G37"/>
  <c r="I38" s="1"/>
  <c r="D37"/>
  <c r="L53"/>
  <c r="O50"/>
  <c r="O48"/>
  <c r="O49"/>
  <c r="C26"/>
  <c r="H26" l="1"/>
  <c r="H36" s="1"/>
  <c r="H37" s="1"/>
  <c r="P26"/>
  <c r="L26"/>
  <c r="L36" s="1"/>
  <c r="N26"/>
  <c r="F26"/>
  <c r="G38"/>
  <c r="D38"/>
  <c r="P36" l="1"/>
  <c r="P37" s="1"/>
  <c r="P38" s="1"/>
  <c r="H17" i="41" s="1"/>
  <c r="I17" s="1"/>
  <c r="J17" s="1"/>
  <c r="N36" i="40"/>
  <c r="N37" s="1"/>
  <c r="N38" s="1"/>
  <c r="G17" i="41" s="1"/>
  <c r="L37" i="40"/>
  <c r="L38" s="1"/>
  <c r="F17" i="41" s="1"/>
  <c r="F36" i="40"/>
  <c r="F37" s="1"/>
  <c r="F38" s="1"/>
  <c r="C17" i="41" s="1"/>
  <c r="B17" s="1"/>
  <c r="H38" i="40"/>
  <c r="D17" i="41" s="1"/>
  <c r="J18" i="40"/>
  <c r="J19"/>
  <c r="J20"/>
  <c r="J21"/>
  <c r="J22"/>
  <c r="J23"/>
  <c r="J25"/>
  <c r="J26"/>
  <c r="J27"/>
  <c r="J28"/>
  <c r="J29"/>
  <c r="J30"/>
  <c r="J31"/>
  <c r="J32"/>
  <c r="J33"/>
  <c r="J34"/>
  <c r="J17"/>
  <c r="J16"/>
  <c r="H45" i="39" l="1"/>
  <c r="H50"/>
  <c r="H51"/>
  <c r="G63"/>
  <c r="G62"/>
  <c r="G61"/>
  <c r="G60"/>
  <c r="H60" s="1"/>
  <c r="G59"/>
  <c r="H59" s="1"/>
  <c r="G58"/>
  <c r="G57"/>
  <c r="G56"/>
  <c r="H56" s="1"/>
  <c r="G55"/>
  <c r="H55" s="1"/>
  <c r="G54"/>
  <c r="G49"/>
  <c r="G48"/>
  <c r="G47"/>
  <c r="H47" s="1"/>
  <c r="G46"/>
  <c r="H46" s="1"/>
  <c r="G44"/>
  <c r="H44" s="1"/>
  <c r="G43"/>
  <c r="G42"/>
  <c r="G41"/>
  <c r="G40"/>
  <c r="H40" s="1"/>
  <c r="G39"/>
  <c r="H39" s="1"/>
  <c r="G38"/>
  <c r="G37"/>
  <c r="G36"/>
  <c r="H36" s="1"/>
  <c r="G35"/>
  <c r="H35" s="1"/>
  <c r="G34"/>
  <c r="G33"/>
  <c r="G32"/>
  <c r="H32" s="1"/>
  <c r="G31"/>
  <c r="G29"/>
  <c r="H29" s="1"/>
  <c r="G21"/>
  <c r="H21" s="1"/>
  <c r="D55"/>
  <c r="D56"/>
  <c r="E56" s="1"/>
  <c r="D57"/>
  <c r="E57" s="1"/>
  <c r="D58"/>
  <c r="E58" s="1"/>
  <c r="D59"/>
  <c r="E59" s="1"/>
  <c r="D60"/>
  <c r="E60" s="1"/>
  <c r="D61"/>
  <c r="E61" s="1"/>
  <c r="D62"/>
  <c r="E62" s="1"/>
  <c r="D63"/>
  <c r="E63" s="1"/>
  <c r="D54"/>
  <c r="E54" s="1"/>
  <c r="D47"/>
  <c r="E47" s="1"/>
  <c r="D48"/>
  <c r="E48" s="1"/>
  <c r="D49"/>
  <c r="E49" s="1"/>
  <c r="D46"/>
  <c r="E46" s="1"/>
  <c r="D32"/>
  <c r="E32" s="1"/>
  <c r="D33"/>
  <c r="E33" s="1"/>
  <c r="D34"/>
  <c r="E34" s="1"/>
  <c r="D35"/>
  <c r="E35" s="1"/>
  <c r="D36"/>
  <c r="E36" s="1"/>
  <c r="D37"/>
  <c r="E37" s="1"/>
  <c r="D38"/>
  <c r="E38" s="1"/>
  <c r="D39"/>
  <c r="E39" s="1"/>
  <c r="D40"/>
  <c r="E40" s="1"/>
  <c r="D41"/>
  <c r="E41" s="1"/>
  <c r="D42"/>
  <c r="E42" s="1"/>
  <c r="D43"/>
  <c r="E43" s="1"/>
  <c r="D44"/>
  <c r="E44" s="1"/>
  <c r="D31"/>
  <c r="E31" s="1"/>
  <c r="D29"/>
  <c r="E29" s="1"/>
  <c r="D21"/>
  <c r="E21" s="1"/>
  <c r="F64"/>
  <c r="C64"/>
  <c r="J78" s="1"/>
  <c r="F52"/>
  <c r="C52"/>
  <c r="J24" i="40" l="1"/>
  <c r="G52" i="39"/>
  <c r="D52"/>
  <c r="H42"/>
  <c r="H38"/>
  <c r="H34"/>
  <c r="H57"/>
  <c r="H61"/>
  <c r="H49"/>
  <c r="H41"/>
  <c r="H37"/>
  <c r="H33"/>
  <c r="H58"/>
  <c r="H62"/>
  <c r="H31"/>
  <c r="H48"/>
  <c r="H63"/>
  <c r="E52"/>
  <c r="H43"/>
  <c r="G64"/>
  <c r="H54"/>
  <c r="F65"/>
  <c r="C65"/>
  <c r="D64"/>
  <c r="E55"/>
  <c r="E64" s="1"/>
  <c r="H53" i="27"/>
  <c r="H54"/>
  <c r="H61"/>
  <c r="H52"/>
  <c r="H30"/>
  <c r="H31"/>
  <c r="H32"/>
  <c r="H33"/>
  <c r="H34"/>
  <c r="H35"/>
  <c r="H36"/>
  <c r="H37"/>
  <c r="H38"/>
  <c r="H39"/>
  <c r="H40"/>
  <c r="H41"/>
  <c r="H42"/>
  <c r="H44"/>
  <c r="H45"/>
  <c r="H46"/>
  <c r="H47"/>
  <c r="H48"/>
  <c r="H49"/>
  <c r="H29"/>
  <c r="H27"/>
  <c r="H19"/>
  <c r="I62"/>
  <c r="G50"/>
  <c r="I50"/>
  <c r="F53"/>
  <c r="F54"/>
  <c r="F55"/>
  <c r="F56"/>
  <c r="F57"/>
  <c r="F58"/>
  <c r="F59"/>
  <c r="F61"/>
  <c r="F52"/>
  <c r="F30"/>
  <c r="F31"/>
  <c r="K31" s="1"/>
  <c r="Q31" s="1"/>
  <c r="F32"/>
  <c r="K32" s="1"/>
  <c r="Q32" s="1"/>
  <c r="F33"/>
  <c r="K33" s="1"/>
  <c r="M33" s="1"/>
  <c r="Q33" s="1"/>
  <c r="F34"/>
  <c r="F35"/>
  <c r="K35" s="1"/>
  <c r="M35" s="1"/>
  <c r="Q35" s="1"/>
  <c r="F36"/>
  <c r="K36" s="1"/>
  <c r="M36" s="1"/>
  <c r="Q36" s="1"/>
  <c r="F37"/>
  <c r="F38"/>
  <c r="F39"/>
  <c r="K39" s="1"/>
  <c r="Q39" s="1"/>
  <c r="F40"/>
  <c r="F41"/>
  <c r="K41" s="1"/>
  <c r="M41" s="1"/>
  <c r="Q41" s="1"/>
  <c r="F42"/>
  <c r="K43"/>
  <c r="Q43" s="1"/>
  <c r="F44"/>
  <c r="F45"/>
  <c r="K45" s="1"/>
  <c r="M45" s="1"/>
  <c r="Q45" s="1"/>
  <c r="F46"/>
  <c r="F47"/>
  <c r="F48"/>
  <c r="J48" s="1"/>
  <c r="K48" s="1"/>
  <c r="M48" s="1"/>
  <c r="O48" s="1"/>
  <c r="Q48" s="1"/>
  <c r="F49"/>
  <c r="F29"/>
  <c r="F27"/>
  <c r="F19"/>
  <c r="J36" i="40" l="1"/>
  <c r="J37" s="1"/>
  <c r="J38" s="1"/>
  <c r="E17" i="41" s="1"/>
  <c r="G65" i="39"/>
  <c r="D65"/>
  <c r="K40" i="27"/>
  <c r="M40" s="1"/>
  <c r="Q40" s="1"/>
  <c r="K47"/>
  <c r="Q47" s="1"/>
  <c r="H64" i="39"/>
  <c r="E65"/>
  <c r="E23" i="24" s="1"/>
  <c r="F22" s="1"/>
  <c r="H52" i="39"/>
  <c r="K44" i="27"/>
  <c r="Q44" s="1"/>
  <c r="I63"/>
  <c r="F50"/>
  <c r="K46"/>
  <c r="M46" s="1"/>
  <c r="Q46" s="1"/>
  <c r="K42"/>
  <c r="M42" s="1"/>
  <c r="Q42" s="1"/>
  <c r="K38"/>
  <c r="M38" s="1"/>
  <c r="Q38" s="1"/>
  <c r="K34"/>
  <c r="Q34" s="1"/>
  <c r="K30"/>
  <c r="Q30" s="1"/>
  <c r="H50"/>
  <c r="K29"/>
  <c r="Q29" s="1"/>
  <c r="F28" i="24" l="1"/>
  <c r="E33"/>
  <c r="H65" i="39"/>
  <c r="F23" i="24" s="1"/>
  <c r="G23" s="1"/>
  <c r="G22" l="1"/>
  <c r="G33"/>
  <c r="F32"/>
  <c r="E34"/>
  <c r="F33"/>
  <c r="N32" l="1"/>
  <c r="G32"/>
  <c r="G34" s="1"/>
  <c r="F34"/>
  <c r="D22" i="42"/>
  <c r="E22"/>
  <c r="C7" i="12"/>
  <c r="E17" i="23" l="1"/>
  <c r="F17"/>
  <c r="C20" i="16" l="1"/>
  <c r="E19"/>
  <c r="E18"/>
  <c r="E17"/>
  <c r="E16"/>
  <c r="E15"/>
  <c r="E14"/>
  <c r="E13"/>
  <c r="E12"/>
  <c r="C45"/>
  <c r="E38"/>
  <c r="E41"/>
  <c r="E42"/>
  <c r="E43"/>
  <c r="E37"/>
  <c r="E44"/>
  <c r="E40"/>
  <c r="E39"/>
  <c r="E20" l="1"/>
  <c r="D20" s="1"/>
  <c r="E45"/>
  <c r="D32" i="17" l="1"/>
  <c r="E45" i="2" s="1"/>
  <c r="D45"/>
  <c r="I14" i="33" l="1"/>
  <c r="J14" s="1"/>
  <c r="F31"/>
  <c r="X101"/>
  <c r="X102"/>
  <c r="X103"/>
  <c r="X104"/>
  <c r="X105"/>
  <c r="X106"/>
  <c r="X100"/>
  <c r="X81"/>
  <c r="X83"/>
  <c r="X84"/>
  <c r="X85"/>
  <c r="X82"/>
  <c r="H40"/>
  <c r="H39"/>
  <c r="U13"/>
  <c r="H18"/>
  <c r="I18" s="1"/>
  <c r="X16"/>
  <c r="W16"/>
  <c r="V16"/>
  <c r="K14" l="1"/>
  <c r="F42"/>
  <c r="F43" s="1"/>
  <c r="C32" i="16"/>
  <c r="D45" s="1"/>
  <c r="E25"/>
  <c r="E26"/>
  <c r="E27"/>
  <c r="E28"/>
  <c r="E29"/>
  <c r="E30"/>
  <c r="E31"/>
  <c r="E24"/>
  <c r="T32" i="33"/>
  <c r="G70"/>
  <c r="E14" i="37" s="1"/>
  <c r="G72" i="33"/>
  <c r="E16" i="37" s="1"/>
  <c r="H72" i="33"/>
  <c r="F16" i="37" s="1"/>
  <c r="G73" i="33"/>
  <c r="G77"/>
  <c r="E21" i="37" s="1"/>
  <c r="F77" i="33"/>
  <c r="D21" i="37" s="1"/>
  <c r="F70" i="33"/>
  <c r="D14" i="37" s="1"/>
  <c r="F72" i="33"/>
  <c r="D16" i="37" s="1"/>
  <c r="F73" i="33"/>
  <c r="F69"/>
  <c r="D13" i="37" s="1"/>
  <c r="H44" i="33"/>
  <c r="H33"/>
  <c r="S26"/>
  <c r="W23"/>
  <c r="W26" s="1"/>
  <c r="X23"/>
  <c r="X26" s="1"/>
  <c r="V23"/>
  <c r="V26" s="1"/>
  <c r="Y17"/>
  <c r="Y16"/>
  <c r="U22"/>
  <c r="S23"/>
  <c r="U23" s="1"/>
  <c r="T20"/>
  <c r="U16"/>
  <c r="S17"/>
  <c r="U17" s="1"/>
  <c r="H22"/>
  <c r="H37"/>
  <c r="I37" s="1"/>
  <c r="J37" s="1"/>
  <c r="K37" s="1"/>
  <c r="H29"/>
  <c r="H73" s="1"/>
  <c r="H26"/>
  <c r="H15"/>
  <c r="I15" s="1"/>
  <c r="G36"/>
  <c r="G25"/>
  <c r="E18" i="46" s="1"/>
  <c r="G14" i="33"/>
  <c r="F16"/>
  <c r="F38"/>
  <c r="F27"/>
  <c r="D41"/>
  <c r="D42" s="1"/>
  <c r="D44" s="1"/>
  <c r="I16" l="1"/>
  <c r="I19" s="1"/>
  <c r="I20" s="1"/>
  <c r="J15"/>
  <c r="H77"/>
  <c r="F21" i="37" s="1"/>
  <c r="H16" i="33"/>
  <c r="H19" s="1"/>
  <c r="V22"/>
  <c r="V25" s="1"/>
  <c r="G27"/>
  <c r="G31" s="1"/>
  <c r="H36"/>
  <c r="H38" s="1"/>
  <c r="E19" i="46"/>
  <c r="G16" i="33"/>
  <c r="E17" i="46"/>
  <c r="G69" i="33"/>
  <c r="E13" i="37" s="1"/>
  <c r="G38" i="33"/>
  <c r="G41" s="1"/>
  <c r="X22"/>
  <c r="X25" s="1"/>
  <c r="F17" i="37"/>
  <c r="E17"/>
  <c r="W22" i="33"/>
  <c r="W25" s="1"/>
  <c r="D17" i="37"/>
  <c r="I26" i="33"/>
  <c r="H70"/>
  <c r="F14" i="37" s="1"/>
  <c r="E32" i="16"/>
  <c r="D32" s="1"/>
  <c r="F71" i="33"/>
  <c r="D15" i="37" s="1"/>
  <c r="F30" i="33"/>
  <c r="H25"/>
  <c r="I25" s="1"/>
  <c r="J25" s="1"/>
  <c r="Y23"/>
  <c r="Y26" s="1"/>
  <c r="F19"/>
  <c r="F20" s="1"/>
  <c r="F21" s="1"/>
  <c r="F41"/>
  <c r="I36" l="1"/>
  <c r="J36" s="1"/>
  <c r="J38" s="1"/>
  <c r="H20"/>
  <c r="H21" s="1"/>
  <c r="I21" s="1"/>
  <c r="I22" s="1"/>
  <c r="I70"/>
  <c r="G14" i="37" s="1"/>
  <c r="J26" i="33"/>
  <c r="K26" s="1"/>
  <c r="N59" s="1"/>
  <c r="O59" s="1"/>
  <c r="P59" s="1"/>
  <c r="K15"/>
  <c r="J16"/>
  <c r="K25"/>
  <c r="J27"/>
  <c r="G30"/>
  <c r="D48" i="16"/>
  <c r="D47"/>
  <c r="G19" i="33"/>
  <c r="G20" s="1"/>
  <c r="G71"/>
  <c r="E15" i="37" s="1"/>
  <c r="D20" i="46"/>
  <c r="Y22" i="33"/>
  <c r="Y25" s="1"/>
  <c r="F75"/>
  <c r="R30"/>
  <c r="I27"/>
  <c r="W87"/>
  <c r="G42" s="1"/>
  <c r="G43" s="1"/>
  <c r="F74"/>
  <c r="D18" i="37" s="1"/>
  <c r="W99" i="33"/>
  <c r="W111" s="1"/>
  <c r="H42" s="1"/>
  <c r="H41"/>
  <c r="F32"/>
  <c r="H27"/>
  <c r="H69"/>
  <c r="F13" i="37" s="1"/>
  <c r="C37" i="27"/>
  <c r="K37" s="1"/>
  <c r="Q37" s="1"/>
  <c r="C88" i="35"/>
  <c r="C26" i="27"/>
  <c r="C27" s="1"/>
  <c r="K27" s="1"/>
  <c r="M27" s="1"/>
  <c r="O27" s="1"/>
  <c r="Q27" s="1"/>
  <c r="C16"/>
  <c r="C19" s="1"/>
  <c r="K19" s="1"/>
  <c r="M19" s="1"/>
  <c r="O19" s="1"/>
  <c r="Q19" s="1"/>
  <c r="C62"/>
  <c r="I69" i="33" l="1"/>
  <c r="G13" i="37" s="1"/>
  <c r="I38" i="33"/>
  <c r="I71" s="1"/>
  <c r="G15" i="37" s="1"/>
  <c r="J69" i="33"/>
  <c r="H13" i="37" s="1"/>
  <c r="K36" i="33"/>
  <c r="K38" s="1"/>
  <c r="K41" s="1"/>
  <c r="K42" s="1"/>
  <c r="K43" s="1"/>
  <c r="J19"/>
  <c r="J71"/>
  <c r="H15" i="37" s="1"/>
  <c r="K70" i="33"/>
  <c r="J70"/>
  <c r="H14" i="37" s="1"/>
  <c r="J30" i="33"/>
  <c r="J31" s="1"/>
  <c r="J32" s="1"/>
  <c r="K27"/>
  <c r="J41"/>
  <c r="J42" s="1"/>
  <c r="J43" s="1"/>
  <c r="K16"/>
  <c r="G74"/>
  <c r="E18" i="37" s="1"/>
  <c r="C50" i="27"/>
  <c r="C63" s="1"/>
  <c r="B26" i="46" s="1"/>
  <c r="G21" i="33"/>
  <c r="H43"/>
  <c r="F76"/>
  <c r="D20" i="37" s="1"/>
  <c r="D19"/>
  <c r="H71" i="33"/>
  <c r="F15" i="37" s="1"/>
  <c r="H30" i="33"/>
  <c r="G75"/>
  <c r="G32"/>
  <c r="K102" i="35"/>
  <c r="F65"/>
  <c r="F54"/>
  <c r="F59"/>
  <c r="F60"/>
  <c r="F61"/>
  <c r="F52"/>
  <c r="F43"/>
  <c r="G43" s="1"/>
  <c r="F30"/>
  <c r="G30" s="1"/>
  <c r="H91"/>
  <c r="E69" s="1"/>
  <c r="F69" s="1"/>
  <c r="AI36"/>
  <c r="AK36"/>
  <c r="AJ36"/>
  <c r="AH36"/>
  <c r="AI19"/>
  <c r="AJ19" s="1"/>
  <c r="AI20"/>
  <c r="AJ20" s="1"/>
  <c r="AI18"/>
  <c r="AJ18" s="1"/>
  <c r="AH22"/>
  <c r="AJ21"/>
  <c r="AI16"/>
  <c r="AJ16"/>
  <c r="AK16"/>
  <c r="AH16"/>
  <c r="E50"/>
  <c r="H50"/>
  <c r="J50" s="1"/>
  <c r="K50"/>
  <c r="M50" s="1"/>
  <c r="N50"/>
  <c r="P50" s="1"/>
  <c r="E66"/>
  <c r="E68" s="1"/>
  <c r="H66"/>
  <c r="J66" s="1"/>
  <c r="K66"/>
  <c r="M66" s="1"/>
  <c r="N66"/>
  <c r="P66" s="1"/>
  <c r="C66"/>
  <c r="C62"/>
  <c r="C50"/>
  <c r="C30"/>
  <c r="C22"/>
  <c r="E62" i="27"/>
  <c r="E50"/>
  <c r="D62"/>
  <c r="D50"/>
  <c r="D72" i="33"/>
  <c r="D71"/>
  <c r="D69"/>
  <c r="D30"/>
  <c r="D31" s="1"/>
  <c r="D33" s="1"/>
  <c r="D19"/>
  <c r="D20" s="1"/>
  <c r="D22" s="1"/>
  <c r="F38" i="32"/>
  <c r="E38"/>
  <c r="D38"/>
  <c r="D37"/>
  <c r="C37"/>
  <c r="F36"/>
  <c r="E36"/>
  <c r="D36"/>
  <c r="C36"/>
  <c r="F35"/>
  <c r="E35"/>
  <c r="F34"/>
  <c r="E34"/>
  <c r="D34"/>
  <c r="C34"/>
  <c r="F29"/>
  <c r="F30" s="1"/>
  <c r="F32" s="1"/>
  <c r="E29"/>
  <c r="E30" s="1"/>
  <c r="E32" s="1"/>
  <c r="D29"/>
  <c r="D30" s="1"/>
  <c r="D32" s="1"/>
  <c r="C29"/>
  <c r="C30" s="1"/>
  <c r="C32" s="1"/>
  <c r="F18"/>
  <c r="F19" s="1"/>
  <c r="F21" s="1"/>
  <c r="F42" s="1"/>
  <c r="E18"/>
  <c r="E19" s="1"/>
  <c r="E21" s="1"/>
  <c r="E42" s="1"/>
  <c r="D18"/>
  <c r="D39" s="1"/>
  <c r="C18"/>
  <c r="C39" s="1"/>
  <c r="K69" i="33" l="1"/>
  <c r="J20"/>
  <c r="J74"/>
  <c r="H18" i="37" s="1"/>
  <c r="K71" i="33"/>
  <c r="I15" i="37" s="1"/>
  <c r="I14"/>
  <c r="M70" i="33"/>
  <c r="K14" i="37" s="1"/>
  <c r="K19" i="33"/>
  <c r="K20" s="1"/>
  <c r="K21" s="1"/>
  <c r="K30"/>
  <c r="L58" s="1"/>
  <c r="L60" s="1"/>
  <c r="N48"/>
  <c r="O48" s="1"/>
  <c r="D22" i="37"/>
  <c r="D24" s="1"/>
  <c r="D28" s="1"/>
  <c r="F50" i="35"/>
  <c r="G50" s="1"/>
  <c r="G28" i="24"/>
  <c r="D63" i="27"/>
  <c r="F41" i="24" s="1"/>
  <c r="D77" i="33"/>
  <c r="F66" i="35"/>
  <c r="G65"/>
  <c r="J68"/>
  <c r="H89"/>
  <c r="H93" s="1"/>
  <c r="K89" s="1"/>
  <c r="E71"/>
  <c r="G76" i="33"/>
  <c r="E20" i="37" s="1"/>
  <c r="E19"/>
  <c r="H31" i="33"/>
  <c r="H74"/>
  <c r="F18" i="37" s="1"/>
  <c r="AJ22" i="35"/>
  <c r="F62"/>
  <c r="K68"/>
  <c r="N68"/>
  <c r="P68" s="1"/>
  <c r="AI22"/>
  <c r="H68"/>
  <c r="K90" s="1"/>
  <c r="D66"/>
  <c r="C68"/>
  <c r="D50"/>
  <c r="E63" i="27"/>
  <c r="J50"/>
  <c r="K50" s="1"/>
  <c r="Q50" s="1"/>
  <c r="F39" i="32"/>
  <c r="F40" s="1"/>
  <c r="F41" s="1"/>
  <c r="C40"/>
  <c r="D74" i="33"/>
  <c r="D75" s="1"/>
  <c r="D40" i="32"/>
  <c r="D19"/>
  <c r="D21" s="1"/>
  <c r="D42" s="1"/>
  <c r="E39"/>
  <c r="E40" s="1"/>
  <c r="E41" s="1"/>
  <c r="C19"/>
  <c r="C21" s="1"/>
  <c r="C42" s="1"/>
  <c r="O70" i="33" l="1"/>
  <c r="M14" i="37" s="1"/>
  <c r="P48" i="33"/>
  <c r="P70" s="1"/>
  <c r="M69"/>
  <c r="K13" i="37" s="1"/>
  <c r="I13"/>
  <c r="N58" i="33"/>
  <c r="O58" s="1"/>
  <c r="K31"/>
  <c r="K32" s="1"/>
  <c r="J21"/>
  <c r="J75"/>
  <c r="L47"/>
  <c r="K74"/>
  <c r="N70"/>
  <c r="L14" i="37" s="1"/>
  <c r="L63" i="33"/>
  <c r="L64" s="1"/>
  <c r="L65" s="1"/>
  <c r="D76"/>
  <c r="B24" i="46"/>
  <c r="B27"/>
  <c r="C27"/>
  <c r="D20" i="24"/>
  <c r="D24" s="1"/>
  <c r="D28"/>
  <c r="D41"/>
  <c r="D26" i="46"/>
  <c r="N90" i="35"/>
  <c r="M68"/>
  <c r="F68"/>
  <c r="F71" s="1"/>
  <c r="G62"/>
  <c r="E22" i="37"/>
  <c r="E24" s="1"/>
  <c r="E28" s="1"/>
  <c r="H32" i="33"/>
  <c r="H75"/>
  <c r="K93" i="35"/>
  <c r="D62"/>
  <c r="C41" i="32"/>
  <c r="D41"/>
  <c r="P58" i="33" l="1"/>
  <c r="P60" s="1"/>
  <c r="O60"/>
  <c r="M71"/>
  <c r="M74" s="1"/>
  <c r="K18" i="37" s="1"/>
  <c r="N60" i="33"/>
  <c r="N63" s="1"/>
  <c r="H19" i="37"/>
  <c r="J76" i="33"/>
  <c r="H20" i="37" s="1"/>
  <c r="L69" i="33"/>
  <c r="J13" i="37" s="1"/>
  <c r="N47" i="33"/>
  <c r="O47" s="1"/>
  <c r="L49"/>
  <c r="I18" i="37"/>
  <c r="K75" i="33"/>
  <c r="N14" i="37"/>
  <c r="D29" i="24"/>
  <c r="D27" i="46"/>
  <c r="E27"/>
  <c r="D24"/>
  <c r="E41" i="24"/>
  <c r="G41" s="1"/>
  <c r="E20"/>
  <c r="C84" i="35"/>
  <c r="C90" s="1"/>
  <c r="G68"/>
  <c r="I102"/>
  <c r="L102" s="1"/>
  <c r="H76" i="33"/>
  <c r="F20" i="37" s="1"/>
  <c r="F22" s="1"/>
  <c r="F24" s="1"/>
  <c r="F28" s="1"/>
  <c r="F19"/>
  <c r="N89" i="35"/>
  <c r="N93" s="1"/>
  <c r="D68"/>
  <c r="C7" i="17"/>
  <c r="D7" i="64" s="1"/>
  <c r="C6" i="17"/>
  <c r="D6" i="64" s="1"/>
  <c r="P64" i="33" l="1"/>
  <c r="P66" s="1"/>
  <c r="P63"/>
  <c r="O63"/>
  <c r="O64" s="1"/>
  <c r="O66" s="1"/>
  <c r="P47"/>
  <c r="O49"/>
  <c r="O69"/>
  <c r="N64"/>
  <c r="N65" s="1"/>
  <c r="M75"/>
  <c r="K19" i="37" s="1"/>
  <c r="K15"/>
  <c r="D37" i="65"/>
  <c r="H28" i="37"/>
  <c r="H21" i="23" s="1"/>
  <c r="K76" i="33"/>
  <c r="I20" i="37" s="1"/>
  <c r="I19"/>
  <c r="N49" i="33"/>
  <c r="N69"/>
  <c r="L13" i="37" s="1"/>
  <c r="L71" i="33"/>
  <c r="J15" i="37" s="1"/>
  <c r="L52" i="33"/>
  <c r="C17" i="42"/>
  <c r="B15" i="41" s="1"/>
  <c r="B19" s="1"/>
  <c r="B21" s="1"/>
  <c r="B14"/>
  <c r="C23" i="42"/>
  <c r="C24" s="1"/>
  <c r="F22"/>
  <c r="P49" i="33" l="1"/>
  <c r="P69"/>
  <c r="O53"/>
  <c r="O55" s="1"/>
  <c r="O77" s="1"/>
  <c r="O52"/>
  <c r="O74" s="1"/>
  <c r="O71"/>
  <c r="O75" s="1"/>
  <c r="M76"/>
  <c r="K20" i="37" s="1"/>
  <c r="K22" s="1"/>
  <c r="E37" i="65"/>
  <c r="I28" i="37"/>
  <c r="I21" i="23" s="1"/>
  <c r="J21" s="1"/>
  <c r="K21" s="1"/>
  <c r="L21" s="1"/>
  <c r="M21" s="1"/>
  <c r="N21" s="1"/>
  <c r="L74" i="33"/>
  <c r="L53"/>
  <c r="L54" s="1"/>
  <c r="M13" i="37"/>
  <c r="N52" i="33"/>
  <c r="N71"/>
  <c r="L15" i="37" s="1"/>
  <c r="C27" i="42"/>
  <c r="D17" i="2" s="1"/>
  <c r="B16" i="41"/>
  <c r="B22" s="1"/>
  <c r="B29" s="1"/>
  <c r="D21" i="42"/>
  <c r="D23" s="1"/>
  <c r="D24" s="1"/>
  <c r="C14" i="41"/>
  <c r="D17" i="42"/>
  <c r="D18" s="1"/>
  <c r="D14" i="23"/>
  <c r="C18" i="42"/>
  <c r="G17" i="23"/>
  <c r="C6" i="16"/>
  <c r="C7" i="20" s="1"/>
  <c r="C8" i="12" s="1"/>
  <c r="C5" i="16"/>
  <c r="K23" i="4"/>
  <c r="K24" s="1"/>
  <c r="D27"/>
  <c r="E27" s="1"/>
  <c r="F27" s="1"/>
  <c r="G27" s="1"/>
  <c r="H27" s="1"/>
  <c r="D25"/>
  <c r="E25" s="1"/>
  <c r="F25" s="1"/>
  <c r="G25" s="1"/>
  <c r="H25" s="1"/>
  <c r="D22"/>
  <c r="E22" s="1"/>
  <c r="F22" s="1"/>
  <c r="G22" s="1"/>
  <c r="H22" s="1"/>
  <c r="D20"/>
  <c r="E20" s="1"/>
  <c r="F20" s="1"/>
  <c r="G20" s="1"/>
  <c r="H20" s="1"/>
  <c r="P52" i="33" l="1"/>
  <c r="P74" s="1"/>
  <c r="P71"/>
  <c r="O76"/>
  <c r="K23" i="37"/>
  <c r="M18"/>
  <c r="N13"/>
  <c r="K26"/>
  <c r="K28" s="1"/>
  <c r="K24"/>
  <c r="N74" i="33"/>
  <c r="L18" i="37" s="1"/>
  <c r="N53" i="33"/>
  <c r="N54" s="1"/>
  <c r="L75"/>
  <c r="J18" i="37"/>
  <c r="D27" i="42"/>
  <c r="E17" i="2" s="1"/>
  <c r="B30" i="41"/>
  <c r="B23"/>
  <c r="C20" s="1"/>
  <c r="D18" i="23"/>
  <c r="E14"/>
  <c r="D15" i="2"/>
  <c r="E14" i="42"/>
  <c r="D42" i="64" s="1"/>
  <c r="D43" s="1"/>
  <c r="C15" i="41"/>
  <c r="C19" s="1"/>
  <c r="H33" i="22"/>
  <c r="F33"/>
  <c r="D33"/>
  <c r="H23"/>
  <c r="F23"/>
  <c r="D23"/>
  <c r="D18"/>
  <c r="D24" s="1"/>
  <c r="H17"/>
  <c r="H18" s="1"/>
  <c r="F17"/>
  <c r="F18" s="1"/>
  <c r="F24" s="1"/>
  <c r="D17"/>
  <c r="H13"/>
  <c r="H15" s="1"/>
  <c r="F13"/>
  <c r="F15" s="1"/>
  <c r="D13"/>
  <c r="D15" s="1"/>
  <c r="H33" i="21"/>
  <c r="F33"/>
  <c r="D33"/>
  <c r="K29"/>
  <c r="D19"/>
  <c r="D23" s="1"/>
  <c r="D16"/>
  <c r="D18" s="1"/>
  <c r="D13"/>
  <c r="D14" s="1"/>
  <c r="D15" s="1"/>
  <c r="N12"/>
  <c r="N14" s="1"/>
  <c r="N11"/>
  <c r="F11"/>
  <c r="F16" s="1"/>
  <c r="F18" s="1"/>
  <c r="D65" i="20"/>
  <c r="D62"/>
  <c r="P75" i="33" l="1"/>
  <c r="P53"/>
  <c r="P55" s="1"/>
  <c r="P77" s="1"/>
  <c r="N75"/>
  <c r="L19" i="37" s="1"/>
  <c r="M21"/>
  <c r="E15" i="23"/>
  <c r="M15" i="37"/>
  <c r="M19"/>
  <c r="K25"/>
  <c r="K33" s="1"/>
  <c r="K27"/>
  <c r="L76" i="33"/>
  <c r="J20" i="37" s="1"/>
  <c r="J19"/>
  <c r="N18"/>
  <c r="B31" i="41"/>
  <c r="D16" i="23" s="1"/>
  <c r="C21" i="41"/>
  <c r="H11" i="21"/>
  <c r="H19" s="1"/>
  <c r="H23" s="1"/>
  <c r="F13"/>
  <c r="J33" i="22"/>
  <c r="D24" i="21"/>
  <c r="D27" s="1"/>
  <c r="H24" i="22"/>
  <c r="J27" s="1"/>
  <c r="J28" s="1"/>
  <c r="C16" i="41"/>
  <c r="E21" i="42"/>
  <c r="E23" s="1"/>
  <c r="E24" s="1"/>
  <c r="E27" s="1"/>
  <c r="F17" i="2" s="1"/>
  <c r="D14" i="41"/>
  <c r="E17" i="42"/>
  <c r="E18" s="1"/>
  <c r="C5" i="22"/>
  <c r="C6"/>
  <c r="N15" i="21"/>
  <c r="D47" i="22"/>
  <c r="D48" s="1"/>
  <c r="F19" i="21"/>
  <c r="F23" s="1"/>
  <c r="F24" s="1"/>
  <c r="D57" i="20"/>
  <c r="D66"/>
  <c r="F25" i="22"/>
  <c r="F27" s="1"/>
  <c r="D25"/>
  <c r="D27" s="1"/>
  <c r="K22"/>
  <c r="F14" i="21"/>
  <c r="F15" s="1"/>
  <c r="D60" i="20"/>
  <c r="D59"/>
  <c r="D64"/>
  <c r="D61"/>
  <c r="P76" i="33" l="1"/>
  <c r="N76"/>
  <c r="L20" i="37" s="1"/>
  <c r="H25" i="22"/>
  <c r="H27" s="1"/>
  <c r="D25" i="21"/>
  <c r="H13"/>
  <c r="H14" s="1"/>
  <c r="H15" s="1"/>
  <c r="H16"/>
  <c r="H18" s="1"/>
  <c r="H24" s="1"/>
  <c r="H27" s="1"/>
  <c r="J22" i="37"/>
  <c r="F37" i="65"/>
  <c r="N15" i="37"/>
  <c r="N19"/>
  <c r="M20"/>
  <c r="C22" i="41"/>
  <c r="E18" i="23" s="1"/>
  <c r="F14"/>
  <c r="D15" i="41"/>
  <c r="D19" s="1"/>
  <c r="F14" i="42"/>
  <c r="C5" i="21"/>
  <c r="C6"/>
  <c r="J33"/>
  <c r="F25"/>
  <c r="F27"/>
  <c r="M22" i="37" l="1"/>
  <c r="M24" s="1"/>
  <c r="H37" i="65"/>
  <c r="J23" i="37"/>
  <c r="L22"/>
  <c r="L23" s="1"/>
  <c r="H25" i="21"/>
  <c r="J26" i="37"/>
  <c r="J28" s="1"/>
  <c r="F38" i="65"/>
  <c r="C30" i="41"/>
  <c r="J24" i="37"/>
  <c r="E42" i="64"/>
  <c r="J25" i="37"/>
  <c r="I33" s="1"/>
  <c r="I35" s="1"/>
  <c r="N21"/>
  <c r="N20"/>
  <c r="C23" i="41"/>
  <c r="F15" i="23" s="1"/>
  <c r="C29" i="41"/>
  <c r="J27" i="21"/>
  <c r="D16" i="41"/>
  <c r="F21" i="42"/>
  <c r="E14" i="41"/>
  <c r="F17" i="42"/>
  <c r="D38" i="20"/>
  <c r="D39" s="1"/>
  <c r="D40" s="1"/>
  <c r="D41" s="1"/>
  <c r="D37"/>
  <c r="F15" i="17" s="1"/>
  <c r="M26" i="37" l="1"/>
  <c r="M28" s="1"/>
  <c r="M23"/>
  <c r="M25" s="1"/>
  <c r="M33" s="1"/>
  <c r="M35" s="1"/>
  <c r="K29" i="2" s="1"/>
  <c r="F24" i="68" s="1"/>
  <c r="J27" i="37"/>
  <c r="F39" i="65"/>
  <c r="E40" s="1"/>
  <c r="E42" s="1"/>
  <c r="E59" s="1"/>
  <c r="H39"/>
  <c r="H40" s="1"/>
  <c r="H42" s="1"/>
  <c r="G59" s="1"/>
  <c r="H38"/>
  <c r="I37"/>
  <c r="G39"/>
  <c r="G40" s="1"/>
  <c r="G42" s="1"/>
  <c r="E43" i="64"/>
  <c r="D51" s="1"/>
  <c r="E51" s="1"/>
  <c r="F51" s="1"/>
  <c r="G51" s="1"/>
  <c r="H51" s="1"/>
  <c r="L26" i="37"/>
  <c r="L28" s="1"/>
  <c r="L27"/>
  <c r="L25"/>
  <c r="L33" s="1"/>
  <c r="L35" s="1"/>
  <c r="J29" i="2" s="1"/>
  <c r="E24" i="55" s="1"/>
  <c r="L24" i="37"/>
  <c r="N22"/>
  <c r="C31" i="41"/>
  <c r="E16" i="23" s="1"/>
  <c r="I29" i="2"/>
  <c r="D24" i="55" s="1"/>
  <c r="E15" i="2"/>
  <c r="M27" i="37"/>
  <c r="D20" i="41"/>
  <c r="D21" s="1"/>
  <c r="D42" i="20"/>
  <c r="H25" i="2"/>
  <c r="E15" i="41"/>
  <c r="E19" s="1"/>
  <c r="G14" i="42"/>
  <c r="G17" s="1"/>
  <c r="G14" i="23"/>
  <c r="F23" i="42"/>
  <c r="F24" s="1"/>
  <c r="F27" s="1"/>
  <c r="G17" i="2" s="1"/>
  <c r="F18" i="42"/>
  <c r="D22" i="41"/>
  <c r="E15" i="17"/>
  <c r="D15" s="1"/>
  <c r="C15" s="1"/>
  <c r="D19" i="23"/>
  <c r="V24" i="55" l="1"/>
  <c r="D24" i="68"/>
  <c r="V24" s="1"/>
  <c r="V29" s="1"/>
  <c r="E24"/>
  <c r="W24" s="1"/>
  <c r="W29" s="1"/>
  <c r="W24" i="55"/>
  <c r="I38" i="65"/>
  <c r="X24" i="68"/>
  <c r="F24" i="55"/>
  <c r="P41" i="2"/>
  <c r="F18" i="52"/>
  <c r="D44" i="20"/>
  <c r="D49" s="1"/>
  <c r="G14" i="17"/>
  <c r="G21" s="1"/>
  <c r="N23" i="37"/>
  <c r="N26"/>
  <c r="N28" s="1"/>
  <c r="N24"/>
  <c r="O41" i="2"/>
  <c r="D50" i="64"/>
  <c r="D55" s="1"/>
  <c r="D78" s="1"/>
  <c r="D81" s="1"/>
  <c r="D85" s="1"/>
  <c r="D87" s="1"/>
  <c r="F14" i="41"/>
  <c r="E16"/>
  <c r="H27" i="2"/>
  <c r="H47" s="1"/>
  <c r="E27"/>
  <c r="F27" s="1"/>
  <c r="G27" s="1"/>
  <c r="G18" i="42"/>
  <c r="G21"/>
  <c r="H14" i="23" s="1"/>
  <c r="I14" s="1"/>
  <c r="J14" s="1"/>
  <c r="F18"/>
  <c r="D29" i="41"/>
  <c r="D23"/>
  <c r="D20" i="23"/>
  <c r="D22" s="1"/>
  <c r="D16" i="2" s="1"/>
  <c r="D50" i="20" l="1"/>
  <c r="D31" i="65"/>
  <c r="N25" i="37"/>
  <c r="N33" s="1"/>
  <c r="N35" s="1"/>
  <c r="L29" i="2" s="1"/>
  <c r="I39" i="65"/>
  <c r="I40" s="1"/>
  <c r="I42" s="1"/>
  <c r="H59" s="1"/>
  <c r="D58"/>
  <c r="N27" i="37"/>
  <c r="Q41" i="2"/>
  <c r="H26"/>
  <c r="F19" i="52"/>
  <c r="C20" i="55" s="1"/>
  <c r="E20" i="41"/>
  <c r="E21" s="1"/>
  <c r="E22" s="1"/>
  <c r="G15" i="23"/>
  <c r="H14" i="42"/>
  <c r="H17" s="1"/>
  <c r="F15" i="41"/>
  <c r="G23" i="42"/>
  <c r="G24" s="1"/>
  <c r="G27" s="1"/>
  <c r="F15" i="2"/>
  <c r="D31" i="41"/>
  <c r="F16" i="23" s="1"/>
  <c r="E19"/>
  <c r="Y24" i="68" l="1"/>
  <c r="G24"/>
  <c r="C20"/>
  <c r="U20" i="55"/>
  <c r="U22" s="1"/>
  <c r="G15" i="17"/>
  <c r="G22" s="1"/>
  <c r="G24" i="55"/>
  <c r="R41" i="2"/>
  <c r="H18" i="42"/>
  <c r="E50" i="64"/>
  <c r="E55" s="1"/>
  <c r="E78" s="1"/>
  <c r="E81" s="1"/>
  <c r="E85" s="1"/>
  <c r="E87" s="1"/>
  <c r="H17" i="2"/>
  <c r="C14" i="55" s="1"/>
  <c r="C22"/>
  <c r="F16" i="41"/>
  <c r="G14"/>
  <c r="H21" i="42"/>
  <c r="G18" i="23"/>
  <c r="E29" i="41"/>
  <c r="G15" i="2" s="1"/>
  <c r="E23" i="41"/>
  <c r="E20" i="23"/>
  <c r="E22" s="1"/>
  <c r="E16" i="2" s="1"/>
  <c r="C22" i="68" l="1"/>
  <c r="U20"/>
  <c r="U22" s="1"/>
  <c r="C14"/>
  <c r="U14" s="1"/>
  <c r="E19" i="4"/>
  <c r="N24" i="2"/>
  <c r="W24" s="1"/>
  <c r="D11" i="65"/>
  <c r="D22" s="1"/>
  <c r="D55" s="1"/>
  <c r="I14" i="42"/>
  <c r="U14" i="55"/>
  <c r="N23" i="2"/>
  <c r="H23" i="42"/>
  <c r="H24" s="1"/>
  <c r="H27" s="1"/>
  <c r="G15" i="41"/>
  <c r="K14" i="23"/>
  <c r="H28" s="1"/>
  <c r="H15"/>
  <c r="F20" i="41"/>
  <c r="F19" i="23"/>
  <c r="R41" i="33"/>
  <c r="I72"/>
  <c r="G16" i="37" s="1"/>
  <c r="F50" i="64" l="1"/>
  <c r="F55" s="1"/>
  <c r="F78" s="1"/>
  <c r="F81" s="1"/>
  <c r="F85" s="1"/>
  <c r="F87" s="1"/>
  <c r="I17" i="42"/>
  <c r="I18" s="1"/>
  <c r="H17" i="17"/>
  <c r="H16" s="1"/>
  <c r="H34" s="1"/>
  <c r="I19" i="2"/>
  <c r="D16" i="55" s="1"/>
  <c r="H16" i="23"/>
  <c r="I21" i="42"/>
  <c r="I23" s="1"/>
  <c r="H14" i="41"/>
  <c r="I17" i="2"/>
  <c r="D14" i="55" s="1"/>
  <c r="G16" i="41"/>
  <c r="F21"/>
  <c r="F22" s="1"/>
  <c r="F23" s="1"/>
  <c r="H29" i="23"/>
  <c r="H31" s="1"/>
  <c r="F20"/>
  <c r="F22" s="1"/>
  <c r="F16" i="2" s="1"/>
  <c r="E13" i="65" l="1"/>
  <c r="E24" s="1"/>
  <c r="E57" s="1"/>
  <c r="D16" i="68"/>
  <c r="V16" s="1"/>
  <c r="D14"/>
  <c r="V14" s="1"/>
  <c r="F19" i="4"/>
  <c r="O25" i="2"/>
  <c r="V16" i="55"/>
  <c r="K15" i="23"/>
  <c r="K16" s="1"/>
  <c r="O24" i="2"/>
  <c r="X24" s="1"/>
  <c r="E11" i="65"/>
  <c r="E22" s="1"/>
  <c r="E55" s="1"/>
  <c r="J14" i="42"/>
  <c r="J17" s="1"/>
  <c r="I24"/>
  <c r="I27" s="1"/>
  <c r="J17" i="2" s="1"/>
  <c r="E14" i="55" s="1"/>
  <c r="L14" i="23"/>
  <c r="K28" s="1"/>
  <c r="K29" s="1"/>
  <c r="K31" s="1"/>
  <c r="H15" i="41"/>
  <c r="V14" i="55"/>
  <c r="O23" i="2"/>
  <c r="G20" i="41"/>
  <c r="G21" s="1"/>
  <c r="G22" s="1"/>
  <c r="H18" i="23"/>
  <c r="F29" i="41"/>
  <c r="H15" i="2" s="1"/>
  <c r="C12" i="55" s="1"/>
  <c r="G16" i="23"/>
  <c r="G19" s="1"/>
  <c r="C12" i="68" l="1"/>
  <c r="U12" s="1"/>
  <c r="F11" i="65"/>
  <c r="F22" s="1"/>
  <c r="F55" s="1"/>
  <c r="E14" i="68"/>
  <c r="W14" s="1"/>
  <c r="I17" i="17"/>
  <c r="I16" s="1"/>
  <c r="I34" s="1"/>
  <c r="J19" i="2"/>
  <c r="E16" i="55" s="1"/>
  <c r="H16" i="41"/>
  <c r="H19" i="23"/>
  <c r="H20" s="1"/>
  <c r="H22" s="1"/>
  <c r="I15"/>
  <c r="I16" s="1"/>
  <c r="D9" i="65"/>
  <c r="D20" s="1"/>
  <c r="D53" s="1"/>
  <c r="P23" i="2"/>
  <c r="P24"/>
  <c r="Y24" s="1"/>
  <c r="K14" i="42"/>
  <c r="I14" i="41"/>
  <c r="J21" i="42"/>
  <c r="J23" s="1"/>
  <c r="J24" s="1"/>
  <c r="J27" s="1"/>
  <c r="K17" i="2" s="1"/>
  <c r="F14" i="68" s="1"/>
  <c r="G50" i="64"/>
  <c r="G55" s="1"/>
  <c r="G78" s="1"/>
  <c r="G81" s="1"/>
  <c r="G85" s="1"/>
  <c r="G87" s="1"/>
  <c r="W14" i="55"/>
  <c r="U12"/>
  <c r="J18" i="23"/>
  <c r="I18"/>
  <c r="G23" i="41"/>
  <c r="K18" i="23"/>
  <c r="K19" s="1"/>
  <c r="K20" s="1"/>
  <c r="K22" s="1"/>
  <c r="G29" i="41"/>
  <c r="I15" i="2" s="1"/>
  <c r="D12" i="55" s="1"/>
  <c r="G20" i="23"/>
  <c r="F13" i="65" l="1"/>
  <c r="F24" s="1"/>
  <c r="F57" s="1"/>
  <c r="E16" i="68"/>
  <c r="W16" s="1"/>
  <c r="D12"/>
  <c r="X14"/>
  <c r="V12"/>
  <c r="W16" i="55"/>
  <c r="H50" i="64"/>
  <c r="H55" s="1"/>
  <c r="H78" s="1"/>
  <c r="H81" s="1"/>
  <c r="H85" s="1"/>
  <c r="K17" i="42"/>
  <c r="J15" i="41" s="1"/>
  <c r="M14" i="23"/>
  <c r="L28" s="1"/>
  <c r="L29" s="1"/>
  <c r="L31" s="1"/>
  <c r="P25" i="2"/>
  <c r="G19" i="4"/>
  <c r="I15" i="41"/>
  <c r="J18" i="42"/>
  <c r="Q24" i="2"/>
  <c r="Z24" s="1"/>
  <c r="G11" i="65"/>
  <c r="G22" s="1"/>
  <c r="G55" s="1"/>
  <c r="E9"/>
  <c r="E20" s="1"/>
  <c r="E53" s="1"/>
  <c r="J14" i="41"/>
  <c r="K21" i="42"/>
  <c r="N14" i="23" s="1"/>
  <c r="F14" i="55"/>
  <c r="Q23" i="2"/>
  <c r="V12" i="55"/>
  <c r="I19" i="23"/>
  <c r="I20" s="1"/>
  <c r="I22" s="1"/>
  <c r="J15"/>
  <c r="H20" i="41"/>
  <c r="H16" i="2"/>
  <c r="C13" i="55" s="1"/>
  <c r="C13" i="68" l="1"/>
  <c r="U13" s="1"/>
  <c r="H19" i="4"/>
  <c r="H87" i="64"/>
  <c r="K23" i="42"/>
  <c r="K24" s="1"/>
  <c r="K27" s="1"/>
  <c r="L17" i="2" s="1"/>
  <c r="G14" i="68" s="1"/>
  <c r="M28" i="23"/>
  <c r="N28" s="1"/>
  <c r="N29" s="1"/>
  <c r="N31" s="1"/>
  <c r="I16" i="41"/>
  <c r="J17" i="17"/>
  <c r="J16" s="1"/>
  <c r="J34" s="1"/>
  <c r="K19" i="2"/>
  <c r="F16" i="68" s="1"/>
  <c r="L19" i="2"/>
  <c r="G16" i="68" s="1"/>
  <c r="K17" i="17"/>
  <c r="K16" s="1"/>
  <c r="K34" s="1"/>
  <c r="D10" i="65"/>
  <c r="D21" s="1"/>
  <c r="D54" s="1"/>
  <c r="J16" i="23"/>
  <c r="J19" s="1"/>
  <c r="J20" s="1"/>
  <c r="J22" s="1"/>
  <c r="I16" i="2" s="1"/>
  <c r="D13" i="55" s="1"/>
  <c r="L15" i="23"/>
  <c r="K18" i="42"/>
  <c r="J16" i="41"/>
  <c r="U13" i="55"/>
  <c r="H21" i="41"/>
  <c r="H22" s="1"/>
  <c r="H23" s="1"/>
  <c r="X16" i="68" l="1"/>
  <c r="H13" i="65"/>
  <c r="H24" s="1"/>
  <c r="H57" s="1"/>
  <c r="Y16" i="68"/>
  <c r="D13"/>
  <c r="V13" s="1"/>
  <c r="R24" i="2"/>
  <c r="AA24" s="1"/>
  <c r="Y14" i="68"/>
  <c r="H11" i="65"/>
  <c r="H22" s="1"/>
  <c r="H55" s="1"/>
  <c r="R23" i="2"/>
  <c r="G14" i="55"/>
  <c r="G16"/>
  <c r="O28" i="23"/>
  <c r="P28" s="1"/>
  <c r="Q28" s="1"/>
  <c r="M29"/>
  <c r="M31" s="1"/>
  <c r="R25" i="2"/>
  <c r="L16" i="23"/>
  <c r="G13" i="65"/>
  <c r="G24" s="1"/>
  <c r="G57" s="1"/>
  <c r="Q25" i="2"/>
  <c r="F16" i="55"/>
  <c r="E10" i="65"/>
  <c r="E21" s="1"/>
  <c r="E54" s="1"/>
  <c r="H36" i="17"/>
  <c r="H38" s="1"/>
  <c r="H39" s="1"/>
  <c r="H25"/>
  <c r="I18" i="2" s="1"/>
  <c r="D15" i="55" s="1"/>
  <c r="V13"/>
  <c r="I20" i="41"/>
  <c r="L18" i="23"/>
  <c r="M15" s="1"/>
  <c r="M16" s="1"/>
  <c r="H29" i="41"/>
  <c r="J15" i="2" s="1"/>
  <c r="E12" i="55" s="1"/>
  <c r="E12" i="68" l="1"/>
  <c r="W12" s="1"/>
  <c r="D15"/>
  <c r="V15" s="1"/>
  <c r="V17" s="1"/>
  <c r="V31" s="1"/>
  <c r="V48" s="1"/>
  <c r="V50" s="1"/>
  <c r="L19" i="23"/>
  <c r="L20" s="1"/>
  <c r="L22" s="1"/>
  <c r="J16" i="2" s="1"/>
  <c r="E13" i="55" s="1"/>
  <c r="F9" i="65"/>
  <c r="F20" s="1"/>
  <c r="F53" s="1"/>
  <c r="W12" i="55"/>
  <c r="I21" i="41"/>
  <c r="I22" s="1"/>
  <c r="D17" i="68" l="1"/>
  <c r="D31" s="1"/>
  <c r="D48" s="1"/>
  <c r="D50" s="1"/>
  <c r="F10" i="65"/>
  <c r="F21" s="1"/>
  <c r="F54" s="1"/>
  <c r="E13" i="68"/>
  <c r="I25" i="17"/>
  <c r="J18" i="2" s="1"/>
  <c r="E15" i="55" s="1"/>
  <c r="I36" i="17"/>
  <c r="I38" s="1"/>
  <c r="I39" s="1"/>
  <c r="W13" i="55"/>
  <c r="M18" i="23"/>
  <c r="I29" i="41"/>
  <c r="I23"/>
  <c r="E15" i="68" l="1"/>
  <c r="W15" s="1"/>
  <c r="W13"/>
  <c r="M19" i="23"/>
  <c r="M20" s="1"/>
  <c r="M22" s="1"/>
  <c r="K16" i="2" s="1"/>
  <c r="F13" i="68" s="1"/>
  <c r="N15" i="23"/>
  <c r="N16" s="1"/>
  <c r="K15" i="2"/>
  <c r="F12" i="68" s="1"/>
  <c r="J20" i="41"/>
  <c r="J21" s="1"/>
  <c r="J22" s="1"/>
  <c r="X12" i="68" l="1"/>
  <c r="W17"/>
  <c r="W31" s="1"/>
  <c r="W48" s="1"/>
  <c r="W50" s="1"/>
  <c r="E17"/>
  <c r="E31" s="1"/>
  <c r="E48" s="1"/>
  <c r="E50" s="1"/>
  <c r="G10" i="65"/>
  <c r="G21" s="1"/>
  <c r="G54" s="1"/>
  <c r="F13" i="55"/>
  <c r="G9" i="65"/>
  <c r="G20" s="1"/>
  <c r="G53" s="1"/>
  <c r="J36" i="17"/>
  <c r="J38" s="1"/>
  <c r="J39" s="1"/>
  <c r="J25"/>
  <c r="K18" i="2" s="1"/>
  <c r="F15" i="68" s="1"/>
  <c r="J23" i="41"/>
  <c r="N18" i="23"/>
  <c r="J29" i="41"/>
  <c r="F12" i="55"/>
  <c r="X15" i="68" l="1"/>
  <c r="J48"/>
  <c r="J50" s="1"/>
  <c r="X13"/>
  <c r="N19" i="23"/>
  <c r="N20" s="1"/>
  <c r="N22" s="1"/>
  <c r="L16" i="2" s="1"/>
  <c r="G13" i="68" s="1"/>
  <c r="L15" i="2"/>
  <c r="G12" i="68" s="1"/>
  <c r="Y12" l="1"/>
  <c r="X17"/>
  <c r="F17"/>
  <c r="F31" s="1"/>
  <c r="F48" s="1"/>
  <c r="F50" s="1"/>
  <c r="H10" i="65"/>
  <c r="H21" s="1"/>
  <c r="H54" s="1"/>
  <c r="G13" i="55"/>
  <c r="H9" i="65"/>
  <c r="H20" s="1"/>
  <c r="H53" s="1"/>
  <c r="K36" i="17"/>
  <c r="K38" s="1"/>
  <c r="K39" s="1"/>
  <c r="K25"/>
  <c r="L18" i="2" s="1"/>
  <c r="G15" i="68" s="1"/>
  <c r="G12" i="55"/>
  <c r="X31" i="68" l="1"/>
  <c r="X48" s="1"/>
  <c r="X50" s="1"/>
  <c r="K48"/>
  <c r="K50" s="1"/>
  <c r="Y15"/>
  <c r="Y13"/>
  <c r="I30" i="33"/>
  <c r="I31" s="1"/>
  <c r="I32" s="1"/>
  <c r="I41"/>
  <c r="Y17" i="68" l="1"/>
  <c r="G17"/>
  <c r="G31" s="1"/>
  <c r="G48" s="1"/>
  <c r="I74" i="33"/>
  <c r="G18" i="37" s="1"/>
  <c r="I42" i="33"/>
  <c r="I43" s="1"/>
  <c r="I73"/>
  <c r="M48" i="68" l="1"/>
  <c r="M50" s="1"/>
  <c r="G50"/>
  <c r="Y31"/>
  <c r="Y48" s="1"/>
  <c r="Y50" s="1"/>
  <c r="L48"/>
  <c r="L50" s="1"/>
  <c r="G17" i="37"/>
  <c r="I75" i="33"/>
  <c r="G19" i="37" s="1"/>
  <c r="I31" i="41" l="1"/>
  <c r="E31"/>
  <c r="G31"/>
  <c r="J31"/>
  <c r="F31"/>
  <c r="H31"/>
  <c r="I77" i="33" l="1"/>
  <c r="I76" l="1"/>
  <c r="G20" i="37" s="1"/>
  <c r="G22" s="1"/>
  <c r="G24" s="1"/>
  <c r="G28" s="1"/>
  <c r="G22" i="23" s="1"/>
  <c r="G16" i="2" s="1"/>
  <c r="G21" i="37"/>
  <c r="E19" i="17" l="1"/>
  <c r="F19"/>
  <c r="F23" s="1"/>
  <c r="F25" s="1"/>
  <c r="G21" i="2" s="1"/>
  <c r="E23" i="17"/>
  <c r="E25" s="1"/>
  <c r="F21" i="2" s="1"/>
  <c r="F46" s="1"/>
  <c r="G46" l="1"/>
  <c r="F18" i="17"/>
  <c r="G44" i="2"/>
  <c r="F44"/>
  <c r="E18" i="17"/>
  <c r="P42" i="2" l="1"/>
  <c r="F15" i="55" l="1"/>
  <c r="F17" s="1"/>
  <c r="G15"/>
  <c r="G17" s="1"/>
  <c r="E12" i="65"/>
  <c r="E23" s="1"/>
  <c r="F12"/>
  <c r="F23" s="1"/>
  <c r="G12"/>
  <c r="G23" s="1"/>
  <c r="G56" s="1"/>
  <c r="H12"/>
  <c r="H23" s="1"/>
  <c r="H56" s="1"/>
  <c r="I21" i="2"/>
  <c r="J21"/>
  <c r="K21"/>
  <c r="L21"/>
  <c r="I44" l="1"/>
  <c r="I46" s="1"/>
  <c r="I48" s="1"/>
  <c r="F15" i="65"/>
  <c r="F26" s="1"/>
  <c r="G15"/>
  <c r="G26" s="1"/>
  <c r="H15"/>
  <c r="H26" s="1"/>
  <c r="D17" i="55"/>
  <c r="D31" s="1"/>
  <c r="D48" s="1"/>
  <c r="V15"/>
  <c r="V17" s="1"/>
  <c r="E17"/>
  <c r="E31" s="1"/>
  <c r="E48" s="1"/>
  <c r="E50" s="1"/>
  <c r="W15"/>
  <c r="W17" s="1"/>
  <c r="F31"/>
  <c r="F48" s="1"/>
  <c r="G31"/>
  <c r="G48" s="1"/>
  <c r="M48" s="1"/>
  <c r="E56" i="65"/>
  <c r="F56"/>
  <c r="AE24" i="2"/>
  <c r="H18" i="17"/>
  <c r="H19" s="1"/>
  <c r="H23" s="1"/>
  <c r="I18"/>
  <c r="I19" s="1"/>
  <c r="I23" s="1"/>
  <c r="P27" i="2"/>
  <c r="P44" s="1"/>
  <c r="J44"/>
  <c r="J46" s="1"/>
  <c r="J48" s="1"/>
  <c r="K18" i="17"/>
  <c r="K19" s="1"/>
  <c r="K23" s="1"/>
  <c r="O27" i="2"/>
  <c r="O44" s="1"/>
  <c r="K44"/>
  <c r="K46" s="1"/>
  <c r="K48" s="1"/>
  <c r="J18" i="17"/>
  <c r="J19" s="1"/>
  <c r="J23" s="1"/>
  <c r="Q27" i="2"/>
  <c r="Q44" s="1"/>
  <c r="AC13"/>
  <c r="L44"/>
  <c r="L46" s="1"/>
  <c r="L48" s="1"/>
  <c r="R27"/>
  <c r="R44" s="1"/>
  <c r="E15" i="65"/>
  <c r="E26" s="1"/>
  <c r="D50" i="55" l="1"/>
  <c r="V31"/>
  <c r="V48" s="1"/>
  <c r="V50" s="1"/>
  <c r="W31"/>
  <c r="W48" s="1"/>
  <c r="W50" s="1"/>
  <c r="K48"/>
  <c r="G50"/>
  <c r="F50"/>
  <c r="J48"/>
  <c r="L48"/>
  <c r="H63" i="65"/>
  <c r="H65" s="1"/>
  <c r="E63"/>
  <c r="E65" s="1"/>
  <c r="F63"/>
  <c r="F65" s="1"/>
  <c r="G63"/>
  <c r="G65" s="1"/>
  <c r="K52" i="27" l="1"/>
  <c r="M52" s="1"/>
  <c r="O52" s="1"/>
  <c r="Q52" s="1"/>
  <c r="K53"/>
  <c r="M53" s="1"/>
  <c r="O53" s="1"/>
  <c r="Q53" s="1"/>
  <c r="K54"/>
  <c r="M54" s="1"/>
  <c r="O54" s="1"/>
  <c r="Q54" s="1"/>
  <c r="K55"/>
  <c r="M55" s="1"/>
  <c r="O55" s="1"/>
  <c r="Q55" s="1"/>
  <c r="K56"/>
  <c r="M56" s="1"/>
  <c r="O56" s="1"/>
  <c r="Q56" s="1"/>
  <c r="K57"/>
  <c r="M57" s="1"/>
  <c r="O57" s="1"/>
  <c r="Q57" s="1"/>
  <c r="K58"/>
  <c r="M58" s="1"/>
  <c r="O58" s="1"/>
  <c r="Q58" s="1"/>
  <c r="K59"/>
  <c r="M59" s="1"/>
  <c r="O59" s="1"/>
  <c r="Q59" s="1"/>
  <c r="K60"/>
  <c r="M60" s="1"/>
  <c r="O60" s="1"/>
  <c r="Q60" s="1"/>
  <c r="K61"/>
  <c r="M61" s="1"/>
  <c r="O61" s="1"/>
  <c r="Q61" s="1"/>
  <c r="J62"/>
  <c r="O62" s="1"/>
  <c r="Q62" l="1"/>
  <c r="Q63" s="1"/>
  <c r="O63"/>
  <c r="J63"/>
  <c r="G21" i="24" s="1"/>
  <c r="G17" i="17" l="1"/>
  <c r="G16" s="1"/>
  <c r="G34" l="1"/>
  <c r="D19" i="4"/>
  <c r="H19" i="2"/>
  <c r="C16" i="55" s="1"/>
  <c r="G25" i="17" l="1"/>
  <c r="H18" i="2" s="1"/>
  <c r="C16" i="68"/>
  <c r="U16" s="1"/>
  <c r="D13" i="65"/>
  <c r="D24" s="1"/>
  <c r="D57" s="1"/>
  <c r="N25" i="2"/>
  <c r="U16" i="55"/>
  <c r="G36" i="17"/>
  <c r="G38" s="1"/>
  <c r="G39" s="1"/>
  <c r="C15" i="68" l="1"/>
  <c r="C17" s="1"/>
  <c r="C31" s="1"/>
  <c r="C48" s="1"/>
  <c r="I48" s="1"/>
  <c r="I50" s="1"/>
  <c r="C15" i="55"/>
  <c r="U15" s="1"/>
  <c r="U17" s="1"/>
  <c r="U31" s="1"/>
  <c r="U48" s="1"/>
  <c r="U50" s="1"/>
  <c r="D12" i="65"/>
  <c r="D23" s="1"/>
  <c r="D56" s="1"/>
  <c r="D63" s="1"/>
  <c r="D65" s="1"/>
  <c r="H21" i="2"/>
  <c r="H44" s="1"/>
  <c r="C17" i="55"/>
  <c r="G18" i="17" l="1"/>
  <c r="G19" s="1"/>
  <c r="G23" s="1"/>
  <c r="C50" i="68"/>
  <c r="U15"/>
  <c r="U17" s="1"/>
  <c r="U31" s="1"/>
  <c r="U48" s="1"/>
  <c r="U50" s="1"/>
  <c r="D15" i="65"/>
  <c r="D26" s="1"/>
  <c r="N27" i="2"/>
  <c r="N44" s="1"/>
  <c r="C31" i="55"/>
  <c r="C48" s="1"/>
  <c r="J51" i="2"/>
  <c r="J53" s="1"/>
  <c r="H46"/>
  <c r="H48" s="1"/>
  <c r="L51"/>
  <c r="L53" s="1"/>
  <c r="K51"/>
  <c r="K53" s="1"/>
  <c r="I48" i="55" l="1"/>
  <c r="C50"/>
  <c r="D21" i="2" l="1"/>
  <c r="D44" s="1"/>
  <c r="E21"/>
  <c r="D18" i="17" s="1"/>
  <c r="D19" l="1"/>
  <c r="D23"/>
  <c r="D25" s="1"/>
  <c r="E44" i="2"/>
  <c r="C18" i="17"/>
  <c r="E46" i="2"/>
  <c r="D46"/>
  <c r="C19" i="17" l="1"/>
  <c r="C23"/>
  <c r="C25" s="1"/>
  <c r="G62" i="27"/>
  <c r="G63" s="1"/>
  <c r="E28" i="24" s="1"/>
  <c r="H60" i="27"/>
  <c r="H62" s="1"/>
  <c r="H63" s="1"/>
  <c r="F21" i="24" s="1"/>
  <c r="F60" i="27"/>
  <c r="F62" s="1"/>
  <c r="F63" s="1"/>
  <c r="E21" i="24" s="1"/>
  <c r="E24" s="1"/>
  <c r="F20" s="1"/>
  <c r="E29" l="1"/>
  <c r="F24"/>
  <c r="G20" l="1"/>
  <c r="G24" s="1"/>
  <c r="G29" s="1"/>
  <c r="F29"/>
</calcChain>
</file>

<file path=xl/comments1.xml><?xml version="1.0" encoding="utf-8"?>
<comments xmlns="http://schemas.openxmlformats.org/spreadsheetml/2006/main">
  <authors>
    <author>stpp</author>
  </authors>
  <commentList>
    <comment ref="F26" authorId="0">
      <text>
        <r>
          <rPr>
            <b/>
            <sz val="9"/>
            <color indexed="81"/>
            <rFont val="Tahoma"/>
            <family val="2"/>
          </rPr>
          <t>stpp:</t>
        </r>
        <r>
          <rPr>
            <sz val="9"/>
            <color indexed="81"/>
            <rFont val="Tahoma"/>
            <family val="2"/>
          </rPr>
          <t xml:space="preserve">
mat is 21.55% for FY 2018-19</t>
        </r>
      </text>
    </comment>
  </commentList>
</comments>
</file>

<file path=xl/comments2.xml><?xml version="1.0" encoding="utf-8"?>
<comments xmlns="http://schemas.openxmlformats.org/spreadsheetml/2006/main">
  <authors>
    <author>stpp</author>
  </authors>
  <commentList>
    <comment ref="H14" authorId="0">
      <text>
        <r>
          <rPr>
            <b/>
            <sz val="9"/>
            <color indexed="81"/>
            <rFont val="Tahoma"/>
            <family val="2"/>
          </rPr>
          <t>stpp:</t>
        </r>
        <r>
          <rPr>
            <sz val="9"/>
            <color indexed="81"/>
            <rFont val="Tahoma"/>
            <family val="2"/>
          </rPr>
          <t xml:space="preserve">
considered 85% but actual scheduled is less
69.64%</t>
        </r>
      </text>
    </comment>
  </commentList>
</comments>
</file>

<file path=xl/sharedStrings.xml><?xml version="1.0" encoding="utf-8"?>
<sst xmlns="http://schemas.openxmlformats.org/spreadsheetml/2006/main" count="3427" uniqueCount="1527">
  <si>
    <r>
      <rPr>
        <b/>
        <sz val="8.5"/>
        <rFont val="Tahoma"/>
        <family val="2"/>
      </rPr>
      <t>PART-I</t>
    </r>
  </si>
  <si>
    <r>
      <rPr>
        <b/>
        <sz val="8.5"/>
        <rFont val="Tahoma"/>
        <family val="2"/>
      </rPr>
      <t>FORM- 8</t>
    </r>
  </si>
  <si>
    <r>
      <rPr>
        <sz val="7"/>
        <rFont val="Arial"/>
        <family val="2"/>
      </rPr>
      <t>Appendix-I Part-I (Thermal).xls</t>
    </r>
  </si>
  <si>
    <r>
      <rPr>
        <b/>
        <sz val="5.5"/>
        <rFont val="Tahoma"/>
        <family val="2"/>
      </rPr>
      <t xml:space="preserve">PART-I
</t>
    </r>
    <r>
      <rPr>
        <b/>
        <sz val="5.5"/>
        <rFont val="Tahoma"/>
        <family val="2"/>
      </rPr>
      <t xml:space="preserve">FORM-5B
</t>
    </r>
    <r>
      <rPr>
        <b/>
        <sz val="5.5"/>
        <rFont val="Tahoma"/>
        <family val="2"/>
      </rPr>
      <t xml:space="preserve">Break-up of Capital Cost for Coal/Lignite based projects
</t>
    </r>
    <r>
      <rPr>
        <b/>
        <sz val="5.5"/>
        <rFont val="Tahoma"/>
        <family val="2"/>
      </rPr>
      <t xml:space="preserve">Name of the Company :
</t>
    </r>
    <r>
      <rPr>
        <b/>
        <sz val="5.5"/>
        <rFont val="Tahoma"/>
        <family val="2"/>
      </rPr>
      <t xml:space="preserve">Name of the Power Station :                                       </t>
    </r>
    <r>
      <rPr>
        <b/>
        <u/>
        <sz val="5.5"/>
        <rFont val="Tahoma"/>
        <family val="2"/>
      </rPr>
      <t>                                                                         </t>
    </r>
  </si>
  <si>
    <r>
      <rPr>
        <b/>
        <sz val="5.5"/>
        <rFont val="Tahoma"/>
        <family val="2"/>
      </rPr>
      <t>Sl.No.</t>
    </r>
  </si>
  <si>
    <r>
      <rPr>
        <b/>
        <sz val="5.5"/>
        <rFont val="Tahoma"/>
        <family val="2"/>
      </rPr>
      <t>Break Down</t>
    </r>
  </si>
  <si>
    <r>
      <rPr>
        <b/>
        <sz val="5.5"/>
        <rFont val="Tahoma"/>
        <family val="2"/>
      </rPr>
      <t>Cost in Rs. Crores</t>
    </r>
  </si>
  <si>
    <r>
      <rPr>
        <b/>
        <sz val="5.5"/>
        <rFont val="Tahoma"/>
        <family val="2"/>
      </rPr>
      <t>Variation (Rs. Cr.)</t>
    </r>
  </si>
  <si>
    <r>
      <rPr>
        <b/>
        <sz val="5.5"/>
        <rFont val="Tahoma"/>
        <family val="2"/>
      </rPr>
      <t>Reasons for Variation</t>
    </r>
  </si>
  <si>
    <r>
      <rPr>
        <b/>
        <sz val="5.5"/>
        <rFont val="Tahoma"/>
        <family val="2"/>
      </rPr>
      <t xml:space="preserve">Admitted Cost    (Rs.
</t>
    </r>
    <r>
      <rPr>
        <b/>
        <sz val="5.5"/>
        <rFont val="Tahoma"/>
        <family val="2"/>
      </rPr>
      <t>Cr.)</t>
    </r>
  </si>
  <si>
    <r>
      <rPr>
        <b/>
        <sz val="5.5"/>
        <rFont val="Tahoma"/>
        <family val="2"/>
      </rPr>
      <t>As per original Estimates</t>
    </r>
  </si>
  <si>
    <r>
      <rPr>
        <b/>
        <sz val="5.5"/>
        <rFont val="Tahoma"/>
        <family val="2"/>
      </rPr>
      <t>As  on COD</t>
    </r>
  </si>
  <si>
    <r>
      <rPr>
        <b/>
        <sz val="5.5"/>
        <rFont val="Tahoma"/>
        <family val="2"/>
      </rPr>
      <t>Cost of Land &amp; Site Development</t>
    </r>
  </si>
  <si>
    <r>
      <rPr>
        <sz val="5.5"/>
        <rFont val="Tahoma"/>
        <family val="2"/>
      </rPr>
      <t>Land</t>
    </r>
  </si>
  <si>
    <r>
      <rPr>
        <sz val="5.5"/>
        <rFont val="Tahoma"/>
        <family val="2"/>
      </rPr>
      <t>Rehabitation  &amp; Resettlement  (R&amp;R)</t>
    </r>
  </si>
  <si>
    <r>
      <rPr>
        <sz val="5.5"/>
        <rFont val="Tahoma"/>
        <family val="2"/>
      </rPr>
      <t>Preliminary Investigation &amp; Site development</t>
    </r>
  </si>
  <si>
    <r>
      <rPr>
        <b/>
        <sz val="5.5"/>
        <rFont val="Tahoma"/>
        <family val="2"/>
      </rPr>
      <t>Total  Land &amp; Site Development</t>
    </r>
  </si>
  <si>
    <r>
      <rPr>
        <b/>
        <sz val="5.5"/>
        <rFont val="Tahoma"/>
        <family val="2"/>
      </rPr>
      <t>Plant &amp; Equipment</t>
    </r>
  </si>
  <si>
    <r>
      <rPr>
        <b/>
        <sz val="5.5"/>
        <rFont val="Tahoma"/>
        <family val="2"/>
      </rPr>
      <t>Steam Generator Island</t>
    </r>
  </si>
  <si>
    <r>
      <rPr>
        <b/>
        <sz val="5.5"/>
        <rFont val="Tahoma"/>
        <family val="2"/>
      </rPr>
      <t>Turbine Generator Island</t>
    </r>
  </si>
  <si>
    <r>
      <rPr>
        <b/>
        <sz val="5.5"/>
        <rFont val="Tahoma"/>
        <family val="2"/>
      </rPr>
      <t>BOP Mechanical</t>
    </r>
  </si>
  <si>
    <r>
      <rPr>
        <sz val="5.5"/>
        <rFont val="Tahoma"/>
        <family val="2"/>
      </rPr>
      <t>2.3.1</t>
    </r>
  </si>
  <si>
    <r>
      <rPr>
        <sz val="5.5"/>
        <rFont val="Tahoma"/>
        <family val="2"/>
      </rPr>
      <t>External water supply system</t>
    </r>
  </si>
  <si>
    <r>
      <rPr>
        <sz val="5.5"/>
        <rFont val="Tahoma"/>
        <family val="2"/>
      </rPr>
      <t>2.3.2</t>
    </r>
  </si>
  <si>
    <r>
      <rPr>
        <sz val="5.5"/>
        <rFont val="Tahoma"/>
        <family val="2"/>
      </rPr>
      <t>CW system</t>
    </r>
  </si>
  <si>
    <r>
      <rPr>
        <sz val="5.5"/>
        <rFont val="Tahoma"/>
        <family val="2"/>
      </rPr>
      <t>2.3.3</t>
    </r>
  </si>
  <si>
    <r>
      <rPr>
        <sz val="5.5"/>
        <rFont val="Tahoma"/>
        <family val="2"/>
      </rPr>
      <t>DM water Plant</t>
    </r>
  </si>
  <si>
    <r>
      <rPr>
        <sz val="5.5"/>
        <rFont val="Tahoma"/>
        <family val="2"/>
      </rPr>
      <t>2.3.4</t>
    </r>
  </si>
  <si>
    <r>
      <rPr>
        <sz val="5.5"/>
        <rFont val="Tahoma"/>
        <family val="2"/>
      </rPr>
      <t>Clarification plant</t>
    </r>
  </si>
  <si>
    <r>
      <rPr>
        <sz val="5.5"/>
        <rFont val="Tahoma"/>
        <family val="2"/>
      </rPr>
      <t>2.3.5</t>
    </r>
  </si>
  <si>
    <r>
      <rPr>
        <sz val="5.5"/>
        <rFont val="Tahoma"/>
        <family val="2"/>
      </rPr>
      <t>Chlorination Plant</t>
    </r>
  </si>
  <si>
    <r>
      <rPr>
        <sz val="5.5"/>
        <rFont val="Tahoma"/>
        <family val="2"/>
      </rPr>
      <t>2.3.6</t>
    </r>
  </si>
  <si>
    <r>
      <rPr>
        <sz val="5.5"/>
        <rFont val="Tahoma"/>
        <family val="2"/>
      </rPr>
      <t>Fuel  Handiling &amp; Storage system</t>
    </r>
  </si>
  <si>
    <r>
      <rPr>
        <sz val="5.5"/>
        <rFont val="Tahoma"/>
        <family val="2"/>
      </rPr>
      <t>2.3.7</t>
    </r>
  </si>
  <si>
    <r>
      <rPr>
        <sz val="5.5"/>
        <rFont val="Tahoma"/>
        <family val="2"/>
      </rPr>
      <t>Ash Handling System</t>
    </r>
  </si>
  <si>
    <r>
      <rPr>
        <sz val="5.5"/>
        <rFont val="Tahoma"/>
        <family val="2"/>
      </rPr>
      <t>2.3.8</t>
    </r>
  </si>
  <si>
    <r>
      <rPr>
        <sz val="5.5"/>
        <rFont val="Tahoma"/>
        <family val="2"/>
      </rPr>
      <t>Coal Handling Plant</t>
    </r>
  </si>
  <si>
    <r>
      <rPr>
        <sz val="5.5"/>
        <rFont val="Tahoma"/>
        <family val="2"/>
      </rPr>
      <t>2.3.9</t>
    </r>
  </si>
  <si>
    <r>
      <rPr>
        <sz val="5.5"/>
        <rFont val="Tahoma"/>
        <family val="2"/>
      </rPr>
      <t>Rolling Stock and Locomotives</t>
    </r>
  </si>
  <si>
    <r>
      <rPr>
        <sz val="5.5"/>
        <rFont val="Tahoma"/>
        <family val="2"/>
      </rPr>
      <t>MGR</t>
    </r>
  </si>
  <si>
    <r>
      <rPr>
        <sz val="5.5"/>
        <rFont val="Tahoma"/>
        <family val="2"/>
      </rPr>
      <t>Air Compressor System</t>
    </r>
  </si>
  <si>
    <r>
      <rPr>
        <sz val="5.5"/>
        <rFont val="Tahoma"/>
        <family val="2"/>
      </rPr>
      <t>Air Condition &amp; Ventilation System</t>
    </r>
  </si>
  <si>
    <r>
      <rPr>
        <sz val="5.5"/>
        <rFont val="Tahoma"/>
        <family val="2"/>
      </rPr>
      <t>Fire fighting System</t>
    </r>
  </si>
  <si>
    <r>
      <rPr>
        <sz val="5.5"/>
        <rFont val="Tahoma"/>
        <family val="2"/>
      </rPr>
      <t>HP/LP Piping</t>
    </r>
  </si>
  <si>
    <r>
      <rPr>
        <b/>
        <sz val="5.5"/>
        <rFont val="Tahoma"/>
        <family val="2"/>
      </rPr>
      <t>Total BOP Mechanical</t>
    </r>
  </si>
  <si>
    <r>
      <rPr>
        <b/>
        <sz val="5.5"/>
        <rFont val="Tahoma"/>
        <family val="2"/>
      </rPr>
      <t>BOP Electrical</t>
    </r>
  </si>
  <si>
    <r>
      <rPr>
        <sz val="5.5"/>
        <rFont val="Tahoma"/>
        <family val="2"/>
      </rPr>
      <t>2.4.1</t>
    </r>
  </si>
  <si>
    <r>
      <rPr>
        <sz val="5.5"/>
        <rFont val="Tahoma"/>
        <family val="2"/>
      </rPr>
      <t>Switch Yard   Package</t>
    </r>
  </si>
  <si>
    <r>
      <rPr>
        <sz val="5.5"/>
        <rFont val="Tahoma"/>
        <family val="2"/>
      </rPr>
      <t>2.4.2</t>
    </r>
  </si>
  <si>
    <r>
      <rPr>
        <sz val="5.5"/>
        <rFont val="Tahoma"/>
        <family val="2"/>
      </rPr>
      <t>Transformers  Package</t>
    </r>
  </si>
  <si>
    <r>
      <rPr>
        <sz val="5.5"/>
        <rFont val="Tahoma"/>
        <family val="2"/>
      </rPr>
      <t>2.4.3</t>
    </r>
  </si>
  <si>
    <r>
      <rPr>
        <sz val="5.5"/>
        <rFont val="Tahoma"/>
        <family val="2"/>
      </rPr>
      <t>Switch gear  Package</t>
    </r>
  </si>
  <si>
    <r>
      <rPr>
        <sz val="5.5"/>
        <rFont val="Tahoma"/>
        <family val="2"/>
      </rPr>
      <t>2.4.4</t>
    </r>
  </si>
  <si>
    <r>
      <rPr>
        <sz val="5.5"/>
        <rFont val="Tahoma"/>
        <family val="2"/>
      </rPr>
      <t>Cables , Cable facilities &amp; grounding</t>
    </r>
  </si>
  <si>
    <r>
      <rPr>
        <sz val="5.5"/>
        <rFont val="Tahoma"/>
        <family val="2"/>
      </rPr>
      <t>2.4.5</t>
    </r>
  </si>
  <si>
    <r>
      <rPr>
        <sz val="5.5"/>
        <rFont val="Tahoma"/>
        <family val="2"/>
      </rPr>
      <t>Lighting</t>
    </r>
  </si>
  <si>
    <r>
      <rPr>
        <sz val="5.5"/>
        <rFont val="Tahoma"/>
        <family val="2"/>
      </rPr>
      <t>2.4.6</t>
    </r>
  </si>
  <si>
    <r>
      <rPr>
        <sz val="5.5"/>
        <rFont val="Tahoma"/>
        <family val="2"/>
      </rPr>
      <t>Emergency  D.G. set</t>
    </r>
  </si>
  <si>
    <r>
      <rPr>
        <b/>
        <sz val="5.5"/>
        <rFont val="Tahoma"/>
        <family val="2"/>
      </rPr>
      <t>Total BOP Electrical</t>
    </r>
  </si>
  <si>
    <r>
      <rPr>
        <b/>
        <sz val="5.5"/>
        <rFont val="Tahoma"/>
        <family val="2"/>
      </rPr>
      <t>C &amp; I   Package</t>
    </r>
  </si>
  <si>
    <r>
      <rPr>
        <b/>
        <sz val="5.5"/>
        <rFont val="Tahoma"/>
        <family val="2"/>
      </rPr>
      <t>Total  Plant  &amp;  Equipment  excluding  taxes &amp; Duties</t>
    </r>
  </si>
  <si>
    <r>
      <rPr>
        <b/>
        <sz val="5.5"/>
        <rFont val="Tahoma"/>
        <family val="2"/>
      </rPr>
      <t>Taxes and Duties</t>
    </r>
  </si>
  <si>
    <r>
      <rPr>
        <sz val="5.5"/>
        <rFont val="Tahoma"/>
        <family val="2"/>
      </rPr>
      <t>2.6.1</t>
    </r>
  </si>
  <si>
    <r>
      <rPr>
        <sz val="5.5"/>
        <rFont val="Tahoma"/>
        <family val="2"/>
      </rPr>
      <t>Custom Duty</t>
    </r>
  </si>
  <si>
    <r>
      <rPr>
        <sz val="5.5"/>
        <rFont val="Tahoma"/>
        <family val="2"/>
      </rPr>
      <t>2.6.2</t>
    </r>
  </si>
  <si>
    <r>
      <rPr>
        <sz val="5.5"/>
        <rFont val="Tahoma"/>
        <family val="2"/>
      </rPr>
      <t>Other Taxes &amp; Duties</t>
    </r>
  </si>
  <si>
    <r>
      <rPr>
        <b/>
        <sz val="5.5"/>
        <rFont val="Tahoma"/>
        <family val="2"/>
      </rPr>
      <t>Total Taxes &amp; Duties</t>
    </r>
  </si>
  <si>
    <r>
      <rPr>
        <b/>
        <sz val="5.5"/>
        <rFont val="Tahoma"/>
        <family val="2"/>
      </rPr>
      <t>Total Plant &amp; Equipment</t>
    </r>
  </si>
  <si>
    <r>
      <rPr>
        <b/>
        <sz val="5.5"/>
        <rFont val="Tahoma"/>
        <family val="2"/>
      </rPr>
      <t>Initial spares</t>
    </r>
  </si>
  <si>
    <r>
      <rPr>
        <b/>
        <sz val="5.5"/>
        <rFont val="Tahoma"/>
        <family val="2"/>
      </rPr>
      <t>Civil Works</t>
    </r>
  </si>
  <si>
    <r>
      <rPr>
        <sz val="5.5"/>
        <rFont val="Tahoma"/>
        <family val="2"/>
      </rPr>
      <t>Main plant/Adm. Building</t>
    </r>
  </si>
  <si>
    <r>
      <rPr>
        <sz val="5.5"/>
        <rFont val="Tahoma"/>
        <family val="2"/>
      </rPr>
      <t>Cooling Towers</t>
    </r>
  </si>
  <si>
    <r>
      <rPr>
        <sz val="5.5"/>
        <rFont val="Tahoma"/>
        <family val="2"/>
      </rPr>
      <t>chlorination plant</t>
    </r>
  </si>
  <si>
    <r>
      <rPr>
        <sz val="5.5"/>
        <rFont val="Tahoma"/>
        <family val="2"/>
      </rPr>
      <t>MGR &amp; Marshalling Yard</t>
    </r>
  </si>
  <si>
    <r>
      <rPr>
        <sz val="5.5"/>
        <rFont val="Tahoma"/>
        <family val="2"/>
      </rPr>
      <t>Ash disposal area development</t>
    </r>
  </si>
  <si>
    <r>
      <rPr>
        <sz val="5.5"/>
        <rFont val="Tahoma"/>
        <family val="2"/>
      </rPr>
      <t>Township &amp; Colony</t>
    </r>
  </si>
  <si>
    <r>
      <rPr>
        <sz val="5.5"/>
        <rFont val="Tahoma"/>
        <family val="2"/>
      </rPr>
      <t>Temp. construction &amp; enabling works</t>
    </r>
  </si>
  <si>
    <r>
      <rPr>
        <sz val="5.5"/>
        <rFont val="Tahoma"/>
        <family val="2"/>
      </rPr>
      <t>Road &amp; Drainage</t>
    </r>
  </si>
  <si>
    <r>
      <rPr>
        <b/>
        <sz val="5.5"/>
        <rFont val="Tahoma"/>
        <family val="2"/>
      </rPr>
      <t>Total Civil works</t>
    </r>
  </si>
  <si>
    <r>
      <rPr>
        <b/>
        <sz val="5.5"/>
        <rFont val="Tahoma"/>
        <family val="2"/>
      </rPr>
      <t>Construction     &amp;     Pre-     Commissioning Expences</t>
    </r>
  </si>
  <si>
    <r>
      <rPr>
        <sz val="5.5"/>
        <rFont val="Tahoma"/>
        <family val="2"/>
      </rPr>
      <t>Erection Testing and commissioning</t>
    </r>
  </si>
  <si>
    <r>
      <rPr>
        <sz val="5.5"/>
        <rFont val="Tahoma"/>
        <family val="2"/>
      </rPr>
      <t>Site supervision</t>
    </r>
  </si>
  <si>
    <r>
      <rPr>
        <sz val="5.5"/>
        <rFont val="Tahoma"/>
        <family val="2"/>
      </rPr>
      <t>Operator's Training</t>
    </r>
  </si>
  <si>
    <r>
      <rPr>
        <sz val="5.5"/>
        <rFont val="Tahoma"/>
        <family val="2"/>
      </rPr>
      <t>Construction Insurance</t>
    </r>
  </si>
  <si>
    <r>
      <rPr>
        <sz val="5.5"/>
        <rFont val="Tahoma"/>
        <family val="2"/>
      </rPr>
      <t>Tools &amp; Plant</t>
    </r>
  </si>
  <si>
    <r>
      <rPr>
        <sz val="5.5"/>
        <rFont val="Tahoma"/>
        <family val="2"/>
      </rPr>
      <t>Start up fuel</t>
    </r>
  </si>
  <si>
    <r>
      <rPr>
        <b/>
        <sz val="5.5"/>
        <rFont val="Tahoma"/>
        <family val="2"/>
      </rPr>
      <t>Total  Construction &amp; Pre- Commissioning Expences</t>
    </r>
  </si>
  <si>
    <r>
      <rPr>
        <b/>
        <sz val="5.5"/>
        <rFont val="Tahoma"/>
        <family val="2"/>
      </rPr>
      <t>Overheads</t>
    </r>
  </si>
  <si>
    <r>
      <rPr>
        <sz val="5.5"/>
        <rFont val="Tahoma"/>
        <family val="2"/>
      </rPr>
      <t>Establishment</t>
    </r>
  </si>
  <si>
    <r>
      <rPr>
        <sz val="5.5"/>
        <rFont val="Tahoma"/>
        <family val="2"/>
      </rPr>
      <t>Design &amp; Engineering</t>
    </r>
  </si>
  <si>
    <r>
      <rPr>
        <sz val="5.5"/>
        <rFont val="Tahoma"/>
        <family val="2"/>
      </rPr>
      <t>Audit &amp; Accounts</t>
    </r>
  </si>
  <si>
    <r>
      <rPr>
        <sz val="5.5"/>
        <rFont val="Tahoma"/>
        <family val="2"/>
      </rPr>
      <t>Contingency</t>
    </r>
  </si>
  <si>
    <r>
      <rPr>
        <b/>
        <sz val="5.5"/>
        <rFont val="Tahoma"/>
        <family val="2"/>
      </rPr>
      <t>Total Overheads</t>
    </r>
  </si>
  <si>
    <r>
      <rPr>
        <b/>
        <sz val="5.5"/>
        <rFont val="Tahoma"/>
        <family val="2"/>
      </rPr>
      <t>Capital cost excluding IDC &amp; FC</t>
    </r>
  </si>
  <si>
    <r>
      <rPr>
        <sz val="5.5"/>
        <rFont val="Tahoma"/>
        <family val="2"/>
      </rPr>
      <t>Interest During Construction (IDC)</t>
    </r>
  </si>
  <si>
    <r>
      <rPr>
        <sz val="5.5"/>
        <rFont val="Tahoma"/>
        <family val="2"/>
      </rPr>
      <t>Financing Charges (FC)</t>
    </r>
  </si>
  <si>
    <r>
      <rPr>
        <b/>
        <sz val="5.5"/>
        <rFont val="Tahoma"/>
        <family val="2"/>
      </rPr>
      <t>Capital cost including IDC &amp; FC</t>
    </r>
  </si>
  <si>
    <r>
      <rPr>
        <sz val="5.5"/>
        <rFont val="Tahoma"/>
        <family val="2"/>
      </rPr>
      <t>Note:</t>
    </r>
  </si>
  <si>
    <r>
      <rPr>
        <sz val="4.5"/>
        <rFont val="Arial"/>
        <family val="2"/>
      </rPr>
      <t>Appendix-I Part-I (Thermal).xls</t>
    </r>
  </si>
  <si>
    <r>
      <rPr>
        <b/>
        <sz val="6"/>
        <rFont val="Tahoma"/>
        <family val="2"/>
      </rPr>
      <t xml:space="preserve">PART-I
</t>
    </r>
    <r>
      <rPr>
        <b/>
        <sz val="6"/>
        <rFont val="Tahoma"/>
        <family val="2"/>
      </rPr>
      <t xml:space="preserve">FORM-5C
</t>
    </r>
    <r>
      <rPr>
        <b/>
        <sz val="6"/>
        <rFont val="Tahoma"/>
        <family val="2"/>
      </rPr>
      <t xml:space="preserve">Break-up of Capital Cost for Gas/Liquid fuel based Projects
</t>
    </r>
    <r>
      <rPr>
        <b/>
        <sz val="6"/>
        <rFont val="Tahoma"/>
        <family val="2"/>
      </rPr>
      <t xml:space="preserve">Name of the Company :
</t>
    </r>
    <r>
      <rPr>
        <b/>
        <sz val="6"/>
        <rFont val="Tahoma"/>
        <family val="2"/>
      </rPr>
      <t xml:space="preserve">Name of the Power Station :                                        </t>
    </r>
    <r>
      <rPr>
        <b/>
        <u/>
        <sz val="6"/>
        <rFont val="Tahoma"/>
        <family val="2"/>
      </rPr>
      <t>                                                                           </t>
    </r>
  </si>
  <si>
    <r>
      <rPr>
        <b/>
        <sz val="6"/>
        <rFont val="Tahoma"/>
        <family val="2"/>
      </rPr>
      <t>Sl.No.</t>
    </r>
  </si>
  <si>
    <r>
      <rPr>
        <b/>
        <sz val="6"/>
        <rFont val="Tahoma"/>
        <family val="2"/>
      </rPr>
      <t>Break Down</t>
    </r>
  </si>
  <si>
    <r>
      <rPr>
        <b/>
        <sz val="6"/>
        <rFont val="Tahoma"/>
        <family val="2"/>
      </rPr>
      <t>Cost in Rs. Crores</t>
    </r>
  </si>
  <si>
    <r>
      <rPr>
        <b/>
        <sz val="6"/>
        <rFont val="Tahoma"/>
        <family val="2"/>
      </rPr>
      <t>Variation ( Rs. Cr.)</t>
    </r>
  </si>
  <si>
    <r>
      <rPr>
        <b/>
        <sz val="6"/>
        <rFont val="Tahoma"/>
        <family val="2"/>
      </rPr>
      <t>Reasons for Variation</t>
    </r>
  </si>
  <si>
    <r>
      <rPr>
        <b/>
        <sz val="6"/>
        <rFont val="Tahoma"/>
        <family val="2"/>
      </rPr>
      <t xml:space="preserve">Admitted Cost    (Rs.
</t>
    </r>
    <r>
      <rPr>
        <b/>
        <sz val="6"/>
        <rFont val="Tahoma"/>
        <family val="2"/>
      </rPr>
      <t>Cr.)</t>
    </r>
  </si>
  <si>
    <r>
      <rPr>
        <b/>
        <sz val="6"/>
        <rFont val="Tahoma"/>
        <family val="2"/>
      </rPr>
      <t>As per original Estimates</t>
    </r>
  </si>
  <si>
    <r>
      <rPr>
        <b/>
        <sz val="6"/>
        <rFont val="Tahoma"/>
        <family val="2"/>
      </rPr>
      <t>As  on COD</t>
    </r>
  </si>
  <si>
    <r>
      <rPr>
        <b/>
        <sz val="6"/>
        <rFont val="Tahoma"/>
        <family val="2"/>
      </rPr>
      <t>Cost of Land &amp; Site Development</t>
    </r>
  </si>
  <si>
    <r>
      <rPr>
        <sz val="6"/>
        <rFont val="Tahoma"/>
        <family val="2"/>
      </rPr>
      <t>Land</t>
    </r>
  </si>
  <si>
    <r>
      <rPr>
        <sz val="6"/>
        <rFont val="Tahoma"/>
        <family val="2"/>
      </rPr>
      <t>Rehabilitation &amp; Resettlement (R&amp;R)</t>
    </r>
  </si>
  <si>
    <r>
      <rPr>
        <sz val="6"/>
        <rFont val="Tahoma"/>
        <family val="2"/>
      </rPr>
      <t>Preliminary Investigation &amp; Site development</t>
    </r>
  </si>
  <si>
    <r>
      <rPr>
        <b/>
        <sz val="6"/>
        <rFont val="Tahoma"/>
        <family val="2"/>
      </rPr>
      <t>Total  Land &amp; Site Development</t>
    </r>
  </si>
  <si>
    <r>
      <rPr>
        <b/>
        <sz val="6"/>
        <rFont val="Tahoma"/>
        <family val="2"/>
      </rPr>
      <t>Plant &amp; Equipment</t>
    </r>
  </si>
  <si>
    <r>
      <rPr>
        <b/>
        <sz val="6"/>
        <rFont val="Tahoma"/>
        <family val="2"/>
      </rPr>
      <t>Steam Turbine generator Island</t>
    </r>
  </si>
  <si>
    <r>
      <rPr>
        <b/>
        <sz val="6"/>
        <rFont val="Tahoma"/>
        <family val="2"/>
      </rPr>
      <t>Turbine Generator Island</t>
    </r>
  </si>
  <si>
    <r>
      <rPr>
        <b/>
        <sz val="6"/>
        <rFont val="Tahoma"/>
        <family val="2"/>
      </rPr>
      <t>WHRB Island</t>
    </r>
  </si>
  <si>
    <r>
      <rPr>
        <b/>
        <sz val="6"/>
        <rFont val="Tahoma"/>
        <family val="2"/>
      </rPr>
      <t>BOP Mechanical</t>
    </r>
  </si>
  <si>
    <r>
      <rPr>
        <sz val="6"/>
        <rFont val="Tahoma"/>
        <family val="2"/>
      </rPr>
      <t>2.4.1</t>
    </r>
  </si>
  <si>
    <r>
      <rPr>
        <sz val="6"/>
        <rFont val="Tahoma"/>
        <family val="2"/>
      </rPr>
      <t>Fuel Handling &amp; Storage system</t>
    </r>
  </si>
  <si>
    <r>
      <rPr>
        <sz val="6"/>
        <rFont val="Tahoma"/>
        <family val="2"/>
      </rPr>
      <t>2.4.2</t>
    </r>
  </si>
  <si>
    <r>
      <rPr>
        <sz val="6"/>
        <rFont val="Tahoma"/>
        <family val="2"/>
      </rPr>
      <t>External water supply system</t>
    </r>
  </si>
  <si>
    <r>
      <rPr>
        <sz val="6"/>
        <rFont val="Tahoma"/>
        <family val="2"/>
      </rPr>
      <t>2.4.3</t>
    </r>
  </si>
  <si>
    <r>
      <rPr>
        <sz val="6"/>
        <rFont val="Tahoma"/>
        <family val="2"/>
      </rPr>
      <t>CW system</t>
    </r>
  </si>
  <si>
    <r>
      <rPr>
        <sz val="6"/>
        <rFont val="Tahoma"/>
        <family val="2"/>
      </rPr>
      <t>2.4.4</t>
    </r>
  </si>
  <si>
    <r>
      <rPr>
        <sz val="6"/>
        <rFont val="Tahoma"/>
        <family val="2"/>
      </rPr>
      <t>Cooling Towers</t>
    </r>
  </si>
  <si>
    <r>
      <rPr>
        <sz val="6"/>
        <rFont val="Tahoma"/>
        <family val="2"/>
      </rPr>
      <t>2.4.5</t>
    </r>
  </si>
  <si>
    <r>
      <rPr>
        <sz val="6"/>
        <rFont val="Tahoma"/>
        <family val="2"/>
      </rPr>
      <t>DM water Plant</t>
    </r>
  </si>
  <si>
    <r>
      <rPr>
        <sz val="6"/>
        <rFont val="Tahoma"/>
        <family val="2"/>
      </rPr>
      <t>2.4.6</t>
    </r>
  </si>
  <si>
    <r>
      <rPr>
        <sz val="6"/>
        <rFont val="Tahoma"/>
        <family val="2"/>
      </rPr>
      <t>Clarification plant</t>
    </r>
  </si>
  <si>
    <r>
      <rPr>
        <sz val="6"/>
        <rFont val="Tahoma"/>
        <family val="2"/>
      </rPr>
      <t>2.4.7</t>
    </r>
  </si>
  <si>
    <r>
      <rPr>
        <sz val="6"/>
        <rFont val="Tahoma"/>
        <family val="2"/>
      </rPr>
      <t>Chlorination Plant</t>
    </r>
  </si>
  <si>
    <r>
      <rPr>
        <sz val="6"/>
        <rFont val="Tahoma"/>
        <family val="2"/>
      </rPr>
      <t>2.4.8</t>
    </r>
  </si>
  <si>
    <r>
      <rPr>
        <sz val="6"/>
        <rFont val="Tahoma"/>
        <family val="2"/>
      </rPr>
      <t>Air condition &amp; Ventilation System</t>
    </r>
  </si>
  <si>
    <r>
      <rPr>
        <sz val="6"/>
        <rFont val="Tahoma"/>
        <family val="2"/>
      </rPr>
      <t>2.4.9</t>
    </r>
  </si>
  <si>
    <r>
      <rPr>
        <sz val="6"/>
        <rFont val="Tahoma"/>
        <family val="2"/>
      </rPr>
      <t>Fire Fighting system</t>
    </r>
  </si>
  <si>
    <r>
      <rPr>
        <sz val="6"/>
        <rFont val="Tahoma"/>
        <family val="2"/>
      </rPr>
      <t xml:space="preserve">HP/LP Piping
</t>
    </r>
    <r>
      <rPr>
        <b/>
        <sz val="6"/>
        <rFont val="Tahoma"/>
        <family val="2"/>
      </rPr>
      <t>Total BOP Mechanical</t>
    </r>
  </si>
  <si>
    <r>
      <rPr>
        <b/>
        <sz val="6"/>
        <rFont val="Tahoma"/>
        <family val="2"/>
      </rPr>
      <t>BOP Electrical</t>
    </r>
  </si>
  <si>
    <r>
      <rPr>
        <sz val="6"/>
        <rFont val="Tahoma"/>
        <family val="2"/>
      </rPr>
      <t>2.5.1</t>
    </r>
  </si>
  <si>
    <r>
      <rPr>
        <sz val="6"/>
        <rFont val="Tahoma"/>
        <family val="2"/>
      </rPr>
      <t>Switch Yard   Package</t>
    </r>
  </si>
  <si>
    <r>
      <rPr>
        <sz val="6"/>
        <rFont val="Tahoma"/>
        <family val="2"/>
      </rPr>
      <t>2.5.2</t>
    </r>
  </si>
  <si>
    <r>
      <rPr>
        <sz val="6"/>
        <rFont val="Tahoma"/>
        <family val="2"/>
      </rPr>
      <t>Transformers package</t>
    </r>
  </si>
  <si>
    <r>
      <rPr>
        <sz val="6"/>
        <rFont val="Tahoma"/>
        <family val="2"/>
      </rPr>
      <t>2.5.3</t>
    </r>
  </si>
  <si>
    <r>
      <rPr>
        <sz val="6"/>
        <rFont val="Tahoma"/>
        <family val="2"/>
      </rPr>
      <t>Switch gear  Package</t>
    </r>
  </si>
  <si>
    <r>
      <rPr>
        <sz val="6"/>
        <rFont val="Tahoma"/>
        <family val="2"/>
      </rPr>
      <t>2.5.4</t>
    </r>
  </si>
  <si>
    <r>
      <rPr>
        <sz val="6"/>
        <rFont val="Tahoma"/>
        <family val="2"/>
      </rPr>
      <t>Cable , Cable Facilities &amp; grounding</t>
    </r>
  </si>
  <si>
    <r>
      <rPr>
        <sz val="6"/>
        <rFont val="Tahoma"/>
        <family val="2"/>
      </rPr>
      <t>2.5.5</t>
    </r>
  </si>
  <si>
    <r>
      <rPr>
        <sz val="6"/>
        <rFont val="Tahoma"/>
        <family val="2"/>
      </rPr>
      <t>Lighting</t>
    </r>
  </si>
  <si>
    <r>
      <rPr>
        <sz val="6"/>
        <rFont val="Tahoma"/>
        <family val="2"/>
      </rPr>
      <t>2.5.6</t>
    </r>
  </si>
  <si>
    <r>
      <rPr>
        <sz val="6"/>
        <rFont val="Tahoma"/>
        <family val="2"/>
      </rPr>
      <t>Emergency  D.G. set</t>
    </r>
  </si>
  <si>
    <r>
      <rPr>
        <b/>
        <sz val="6"/>
        <rFont val="Tahoma"/>
        <family val="2"/>
      </rPr>
      <t>Total BOP Electrical</t>
    </r>
  </si>
  <si>
    <r>
      <rPr>
        <b/>
        <sz val="6"/>
        <rFont val="Tahoma"/>
        <family val="2"/>
      </rPr>
      <t>C &amp; I  Package</t>
    </r>
  </si>
  <si>
    <r>
      <rPr>
        <b/>
        <sz val="6"/>
        <rFont val="Tahoma"/>
        <family val="2"/>
      </rPr>
      <t>Total  Plant  &amp;  Equipment  excluding  taxes &amp; Duties</t>
    </r>
  </si>
  <si>
    <r>
      <rPr>
        <b/>
        <sz val="6"/>
        <rFont val="Tahoma"/>
        <family val="2"/>
      </rPr>
      <t>Taxes and Duties</t>
    </r>
  </si>
  <si>
    <r>
      <rPr>
        <sz val="6"/>
        <rFont val="Tahoma"/>
        <family val="2"/>
      </rPr>
      <t>2.7.1</t>
    </r>
  </si>
  <si>
    <r>
      <rPr>
        <sz val="6"/>
        <rFont val="Tahoma"/>
        <family val="2"/>
      </rPr>
      <t>Custom Duty</t>
    </r>
  </si>
  <si>
    <r>
      <rPr>
        <sz val="6"/>
        <rFont val="Tahoma"/>
        <family val="2"/>
      </rPr>
      <t>2.7.2</t>
    </r>
  </si>
  <si>
    <r>
      <rPr>
        <sz val="6"/>
        <rFont val="Tahoma"/>
        <family val="2"/>
      </rPr>
      <t>Other Taxes &amp; Duties</t>
    </r>
  </si>
  <si>
    <r>
      <rPr>
        <b/>
        <sz val="6"/>
        <rFont val="Tahoma"/>
        <family val="2"/>
      </rPr>
      <t>Total Taxes &amp; Duties</t>
    </r>
  </si>
  <si>
    <r>
      <rPr>
        <b/>
        <sz val="6"/>
        <rFont val="Tahoma"/>
        <family val="2"/>
      </rPr>
      <t>Total Plant &amp; Equipment</t>
    </r>
  </si>
  <si>
    <r>
      <rPr>
        <b/>
        <sz val="6"/>
        <rFont val="Tahoma"/>
        <family val="2"/>
      </rPr>
      <t>Initial spares</t>
    </r>
  </si>
  <si>
    <r>
      <rPr>
        <b/>
        <sz val="6"/>
        <rFont val="Tahoma"/>
        <family val="2"/>
      </rPr>
      <t>Civil Works</t>
    </r>
  </si>
  <si>
    <r>
      <rPr>
        <sz val="6"/>
        <rFont val="Tahoma"/>
        <family val="2"/>
      </rPr>
      <t>Main plant/Adm. Building</t>
    </r>
  </si>
  <si>
    <r>
      <rPr>
        <sz val="6"/>
        <rFont val="Tahoma"/>
        <family val="2"/>
      </rPr>
      <t>Township &amp; Colony</t>
    </r>
  </si>
  <si>
    <r>
      <rPr>
        <sz val="6"/>
        <rFont val="Tahoma"/>
        <family val="2"/>
      </rPr>
      <t>Temp. construction &amp; enabling works</t>
    </r>
  </si>
  <si>
    <r>
      <rPr>
        <sz val="6"/>
        <rFont val="Tahoma"/>
        <family val="2"/>
      </rPr>
      <t>Road &amp; Drainage</t>
    </r>
  </si>
  <si>
    <r>
      <rPr>
        <b/>
        <sz val="6"/>
        <rFont val="Tahoma"/>
        <family val="2"/>
      </rPr>
      <t>Total Civil works</t>
    </r>
  </si>
  <si>
    <r>
      <rPr>
        <b/>
        <sz val="6"/>
        <rFont val="Tahoma"/>
        <family val="2"/>
      </rPr>
      <t>Construction     &amp;     Pre-     Commissioning Expences</t>
    </r>
  </si>
  <si>
    <r>
      <rPr>
        <sz val="6"/>
        <rFont val="Tahoma"/>
        <family val="2"/>
      </rPr>
      <t>Erection Testing and commissioning</t>
    </r>
  </si>
  <si>
    <r>
      <rPr>
        <sz val="6"/>
        <rFont val="Tahoma"/>
        <family val="2"/>
      </rPr>
      <t>Site supervision</t>
    </r>
  </si>
  <si>
    <r>
      <rPr>
        <sz val="6"/>
        <rFont val="Tahoma"/>
        <family val="2"/>
      </rPr>
      <t>Operator's Training</t>
    </r>
  </si>
  <si>
    <r>
      <rPr>
        <sz val="6"/>
        <rFont val="Tahoma"/>
        <family val="2"/>
      </rPr>
      <t>Construction Insurance</t>
    </r>
  </si>
  <si>
    <r>
      <rPr>
        <sz val="6"/>
        <rFont val="Tahoma"/>
        <family val="2"/>
      </rPr>
      <t>Tools &amp; Plant</t>
    </r>
  </si>
  <si>
    <r>
      <rPr>
        <sz val="6"/>
        <rFont val="Tahoma"/>
        <family val="2"/>
      </rPr>
      <t>Start up fuel</t>
    </r>
  </si>
  <si>
    <r>
      <rPr>
        <b/>
        <sz val="6"/>
        <rFont val="Tahoma"/>
        <family val="2"/>
      </rPr>
      <t>Total  Construction &amp; Pre- Commissioning Expences</t>
    </r>
  </si>
  <si>
    <r>
      <rPr>
        <b/>
        <sz val="6"/>
        <rFont val="Tahoma"/>
        <family val="2"/>
      </rPr>
      <t>Overheads</t>
    </r>
  </si>
  <si>
    <r>
      <rPr>
        <sz val="6"/>
        <rFont val="Tahoma"/>
        <family val="2"/>
      </rPr>
      <t>Establishment</t>
    </r>
  </si>
  <si>
    <r>
      <rPr>
        <sz val="6"/>
        <rFont val="Tahoma"/>
        <family val="2"/>
      </rPr>
      <t>Design &amp; Engineering</t>
    </r>
  </si>
  <si>
    <r>
      <rPr>
        <sz val="6"/>
        <rFont val="Tahoma"/>
        <family val="2"/>
      </rPr>
      <t>Audit &amp; Accounts</t>
    </r>
  </si>
  <si>
    <r>
      <rPr>
        <sz val="6"/>
        <rFont val="Tahoma"/>
        <family val="2"/>
      </rPr>
      <t>Contingency</t>
    </r>
  </si>
  <si>
    <r>
      <rPr>
        <b/>
        <sz val="6"/>
        <rFont val="Tahoma"/>
        <family val="2"/>
      </rPr>
      <t>Total Overheads</t>
    </r>
  </si>
  <si>
    <r>
      <rPr>
        <b/>
        <sz val="6"/>
        <rFont val="Tahoma"/>
        <family val="2"/>
      </rPr>
      <t>Capital cost excluding IDC &amp; FC</t>
    </r>
  </si>
  <si>
    <r>
      <rPr>
        <sz val="6"/>
        <rFont val="Tahoma"/>
        <family val="2"/>
      </rPr>
      <t>Interest During Construction (IDC)</t>
    </r>
  </si>
  <si>
    <r>
      <rPr>
        <sz val="6"/>
        <rFont val="Tahoma"/>
        <family val="2"/>
      </rPr>
      <t>Financing Charges (FC)</t>
    </r>
  </si>
  <si>
    <r>
      <rPr>
        <b/>
        <sz val="6"/>
        <rFont val="Tahoma"/>
        <family val="2"/>
      </rPr>
      <t>Capital cost including IDC &amp; FC</t>
    </r>
  </si>
  <si>
    <r>
      <rPr>
        <sz val="6"/>
        <rFont val="Tahoma"/>
        <family val="2"/>
      </rPr>
      <t>Note:</t>
    </r>
  </si>
  <si>
    <r>
      <rPr>
        <b/>
        <sz val="6"/>
        <rFont val="Tahoma"/>
        <family val="2"/>
      </rPr>
      <t>PETITIONER</t>
    </r>
  </si>
  <si>
    <r>
      <rPr>
        <b/>
        <sz val="6"/>
        <rFont val="Tahoma"/>
        <family val="2"/>
      </rPr>
      <t xml:space="preserve">PART-I
</t>
    </r>
    <r>
      <rPr>
        <b/>
        <sz val="6"/>
        <rFont val="Tahoma"/>
        <family val="2"/>
      </rPr>
      <t xml:space="preserve">Break-up of Construction/Supply/Service packages                                                                                                          FORM-5D
</t>
    </r>
    <r>
      <rPr>
        <b/>
        <sz val="6"/>
        <rFont val="Tahoma"/>
        <family val="2"/>
      </rPr>
      <t>Name of the Company : Name of the Power Station :</t>
    </r>
  </si>
  <si>
    <r>
      <rPr>
        <b/>
        <sz val="6"/>
        <rFont val="Tahoma"/>
        <family val="2"/>
      </rPr>
      <t>Name/No.    of Construction  / Supply            / Service Package</t>
    </r>
  </si>
  <si>
    <r>
      <rPr>
        <b/>
        <sz val="6"/>
        <rFont val="Tahoma"/>
        <family val="2"/>
      </rPr>
      <t>Scope   of   works</t>
    </r>
    <r>
      <rPr>
        <b/>
        <vertAlign val="superscript"/>
        <sz val="3.5"/>
        <rFont val="Tahoma"/>
        <family val="2"/>
      </rPr>
      <t xml:space="preserve">1  </t>
    </r>
    <r>
      <rPr>
        <b/>
        <sz val="6"/>
        <rFont val="Tahoma"/>
        <family val="2"/>
      </rPr>
      <t>(in   line with  head  of  cost  break- ups as applicable)</t>
    </r>
  </si>
  <si>
    <r>
      <rPr>
        <b/>
        <sz val="6"/>
        <rFont val="Tahoma"/>
        <family val="2"/>
      </rPr>
      <t>Whether     awarded through    ICB/DCB/ Depatmentally/ Deposit Work</t>
    </r>
  </si>
  <si>
    <r>
      <rPr>
        <b/>
        <sz val="6"/>
        <rFont val="Tahoma"/>
        <family val="2"/>
      </rPr>
      <t>No.  of  bids received</t>
    </r>
  </si>
  <si>
    <r>
      <rPr>
        <b/>
        <sz val="6"/>
        <rFont val="Tahoma"/>
        <family val="2"/>
      </rPr>
      <t>Date  of Award</t>
    </r>
  </si>
  <si>
    <r>
      <rPr>
        <b/>
        <sz val="6"/>
        <rFont val="Tahoma"/>
        <family val="2"/>
      </rPr>
      <t xml:space="preserve">Date    of
</t>
    </r>
    <r>
      <rPr>
        <b/>
        <sz val="6"/>
        <rFont val="Tahoma"/>
        <family val="2"/>
      </rPr>
      <t>Start    of work</t>
    </r>
  </si>
  <si>
    <r>
      <rPr>
        <b/>
        <sz val="6"/>
        <rFont val="Tahoma"/>
        <family val="2"/>
      </rPr>
      <t>Date           of Completion of Work</t>
    </r>
  </si>
  <si>
    <r>
      <rPr>
        <b/>
        <sz val="6"/>
        <rFont val="Tahoma"/>
        <family val="2"/>
      </rPr>
      <t xml:space="preserve">Value        of
</t>
    </r>
    <r>
      <rPr>
        <b/>
        <sz val="6"/>
        <rFont val="Tahoma"/>
        <family val="2"/>
      </rPr>
      <t>Award</t>
    </r>
    <r>
      <rPr>
        <b/>
        <vertAlign val="superscript"/>
        <sz val="3.5"/>
        <rFont val="Tahoma"/>
        <family val="2"/>
      </rPr>
      <t xml:space="preserve">2     </t>
    </r>
    <r>
      <rPr>
        <b/>
        <sz val="6"/>
        <rFont val="Tahoma"/>
        <family val="2"/>
      </rPr>
      <t>in (Rs. Cr.)</t>
    </r>
  </si>
  <si>
    <r>
      <rPr>
        <b/>
        <sz val="6"/>
        <rFont val="Tahoma"/>
        <family val="2"/>
      </rPr>
      <t>Firm         or With Escalation in prices</t>
    </r>
  </si>
  <si>
    <r>
      <rPr>
        <b/>
        <sz val="6"/>
        <rFont val="Tahoma"/>
        <family val="2"/>
      </rPr>
      <t xml:space="preserve">Actual expenditure       till the  completion  or up        to        COD
</t>
    </r>
    <r>
      <rPr>
        <b/>
        <sz val="6"/>
        <rFont val="Tahoma"/>
        <family val="2"/>
      </rPr>
      <t>whichever           is earlier(Rs.Cr.)</t>
    </r>
  </si>
  <si>
    <r>
      <rPr>
        <vertAlign val="superscript"/>
        <sz val="3.5"/>
        <rFont val="Tahoma"/>
        <family val="2"/>
      </rPr>
      <t xml:space="preserve">1 </t>
    </r>
    <r>
      <rPr>
        <sz val="6"/>
        <rFont val="Tahoma"/>
        <family val="2"/>
      </rPr>
      <t>The scope of work in any package should be indicated in conformity of Capital cost break-up for the coal/lignite based plants in the FORM-5B to the extent possible.  In case of Gas/Liquid fuel based projects, break down in the similar manner in the relevent heads as per FORM-5C.</t>
    </r>
  </si>
  <si>
    <r>
      <rPr>
        <vertAlign val="superscript"/>
        <sz val="3.5"/>
        <rFont val="Tahoma"/>
        <family val="2"/>
      </rPr>
      <t xml:space="preserve">2 </t>
    </r>
    <r>
      <rPr>
        <sz val="6"/>
        <rFont val="Tahoma"/>
        <family val="2"/>
      </rPr>
      <t>If there is  any package, which need to be shown in Indian Rupee and foreign currency(ies), the same should be shown separatly alongwith the currency, the exchange rate and the date e.g. Rs.80 Cr+US$50m=Rs.280Cr at US$=Rs40 as on say 4.1.1999.</t>
    </r>
  </si>
  <si>
    <r>
      <rPr>
        <b/>
        <sz val="8.5"/>
        <rFont val="Tahoma"/>
        <family val="2"/>
      </rPr>
      <t>Details of Allocation  of  corporate loans to various projects</t>
    </r>
  </si>
  <si>
    <r>
      <rPr>
        <b/>
        <sz val="8.5"/>
        <rFont val="Tahoma"/>
        <family val="2"/>
      </rPr>
      <t>Name of the Company</t>
    </r>
  </si>
  <si>
    <r>
      <rPr>
        <b/>
        <sz val="8.5"/>
        <rFont val="Tahoma"/>
        <family val="2"/>
      </rPr>
      <t xml:space="preserve">Name of the Power Station                                                </t>
    </r>
    <r>
      <rPr>
        <b/>
        <u/>
        <sz val="8.5"/>
        <rFont val="Tahoma"/>
        <family val="2"/>
      </rPr>
      <t>                                                           </t>
    </r>
  </si>
  <si>
    <r>
      <rPr>
        <sz val="8.5"/>
        <rFont val="Tahoma"/>
        <family val="2"/>
      </rPr>
      <t>(Amount in lacs)</t>
    </r>
  </si>
  <si>
    <r>
      <rPr>
        <b/>
        <sz val="8.5"/>
        <rFont val="Tahoma"/>
        <family val="2"/>
      </rPr>
      <t>Particulars</t>
    </r>
  </si>
  <si>
    <r>
      <rPr>
        <b/>
        <sz val="8.5"/>
        <rFont val="Tahoma"/>
        <family val="2"/>
      </rPr>
      <t>Package1</t>
    </r>
  </si>
  <si>
    <r>
      <rPr>
        <b/>
        <sz val="8.5"/>
        <rFont val="Tahoma"/>
        <family val="2"/>
      </rPr>
      <t>Package2</t>
    </r>
  </si>
  <si>
    <r>
      <rPr>
        <b/>
        <sz val="8.5"/>
        <rFont val="Tahoma"/>
        <family val="2"/>
      </rPr>
      <t>Package3</t>
    </r>
  </si>
  <si>
    <r>
      <rPr>
        <b/>
        <sz val="8.5"/>
        <rFont val="Tahoma"/>
        <family val="2"/>
      </rPr>
      <t>Package4</t>
    </r>
  </si>
  <si>
    <r>
      <rPr>
        <b/>
        <sz val="8.5"/>
        <rFont val="Tahoma"/>
        <family val="2"/>
      </rPr>
      <t>Package5</t>
    </r>
  </si>
  <si>
    <r>
      <rPr>
        <b/>
        <sz val="8.5"/>
        <rFont val="Tahoma"/>
        <family val="2"/>
      </rPr>
      <t>Remarks</t>
    </r>
  </si>
  <si>
    <r>
      <rPr>
        <sz val="8.5"/>
        <rFont val="Tahoma"/>
        <family val="2"/>
      </rPr>
      <t>Source of Loan</t>
    </r>
    <r>
      <rPr>
        <vertAlign val="superscript"/>
        <sz val="5"/>
        <rFont val="Tahoma"/>
        <family val="2"/>
      </rPr>
      <t>1</t>
    </r>
  </si>
  <si>
    <r>
      <rPr>
        <sz val="8.5"/>
        <rFont val="Tahoma"/>
        <family val="2"/>
      </rPr>
      <t>Currency</t>
    </r>
    <r>
      <rPr>
        <vertAlign val="superscript"/>
        <sz val="5"/>
        <rFont val="Tahoma"/>
        <family val="2"/>
      </rPr>
      <t>2</t>
    </r>
  </si>
  <si>
    <r>
      <rPr>
        <sz val="8.5"/>
        <rFont val="Tahoma"/>
        <family val="2"/>
      </rPr>
      <t>Amount of Loan sanctioned</t>
    </r>
  </si>
  <si>
    <r>
      <rPr>
        <sz val="8.5"/>
        <rFont val="Tahoma"/>
        <family val="2"/>
      </rPr>
      <t xml:space="preserve">Amount of Gross Loan drawn upto
</t>
    </r>
    <r>
      <rPr>
        <sz val="8.5"/>
        <rFont val="Tahoma"/>
        <family val="2"/>
      </rPr>
      <t xml:space="preserve">31.03.2004/COD </t>
    </r>
    <r>
      <rPr>
        <vertAlign val="superscript"/>
        <sz val="5"/>
        <rFont val="Tahoma"/>
        <family val="2"/>
      </rPr>
      <t>3,4,5,13,15</t>
    </r>
  </si>
  <si>
    <r>
      <rPr>
        <sz val="8.5"/>
        <rFont val="Tahoma"/>
        <family val="2"/>
      </rPr>
      <t>Interest Type</t>
    </r>
    <r>
      <rPr>
        <vertAlign val="superscript"/>
        <sz val="5"/>
        <rFont val="Tahoma"/>
        <family val="2"/>
      </rPr>
      <t>6</t>
    </r>
  </si>
  <si>
    <r>
      <rPr>
        <sz val="8.5"/>
        <rFont val="Tahoma"/>
        <family val="2"/>
      </rPr>
      <t>Fixed Interest Rate, if applicable</t>
    </r>
  </si>
  <si>
    <r>
      <rPr>
        <sz val="8.5"/>
        <rFont val="Tahoma"/>
        <family val="2"/>
      </rPr>
      <t>Base Rate, if Floating Interest</t>
    </r>
    <r>
      <rPr>
        <vertAlign val="superscript"/>
        <sz val="5"/>
        <rFont val="Tahoma"/>
        <family val="2"/>
      </rPr>
      <t>7</t>
    </r>
  </si>
  <si>
    <r>
      <rPr>
        <sz val="8.5"/>
        <rFont val="Tahoma"/>
        <family val="2"/>
      </rPr>
      <t>Margin, if Floating Interest</t>
    </r>
    <r>
      <rPr>
        <vertAlign val="superscript"/>
        <sz val="5"/>
        <rFont val="Tahoma"/>
        <family val="2"/>
      </rPr>
      <t>8</t>
    </r>
  </si>
  <si>
    <r>
      <rPr>
        <sz val="8.5"/>
        <rFont val="Tahoma"/>
        <family val="2"/>
      </rPr>
      <t>Are there any Caps/Floor</t>
    </r>
    <r>
      <rPr>
        <vertAlign val="superscript"/>
        <sz val="5"/>
        <rFont val="Tahoma"/>
        <family val="2"/>
      </rPr>
      <t>9</t>
    </r>
  </si>
  <si>
    <r>
      <rPr>
        <sz val="8.5"/>
        <rFont val="Tahoma"/>
        <family val="2"/>
      </rPr>
      <t>Yes/No</t>
    </r>
  </si>
  <si>
    <r>
      <rPr>
        <sz val="8.5"/>
        <rFont val="Tahoma"/>
        <family val="2"/>
      </rPr>
      <t>If above is yes,specify caps/floor</t>
    </r>
  </si>
  <si>
    <r>
      <rPr>
        <sz val="8.5"/>
        <rFont val="Tahoma"/>
        <family val="2"/>
      </rPr>
      <t>Moratorium Period</t>
    </r>
    <r>
      <rPr>
        <vertAlign val="superscript"/>
        <sz val="5"/>
        <rFont val="Tahoma"/>
        <family val="2"/>
      </rPr>
      <t>10</t>
    </r>
  </si>
  <si>
    <r>
      <rPr>
        <sz val="8.5"/>
        <rFont val="Tahoma"/>
        <family val="2"/>
      </rPr>
      <t>Moratorium effective from</t>
    </r>
  </si>
  <si>
    <r>
      <rPr>
        <sz val="8.5"/>
        <rFont val="Tahoma"/>
        <family val="2"/>
      </rPr>
      <t>Repayment Period</t>
    </r>
    <r>
      <rPr>
        <vertAlign val="superscript"/>
        <sz val="5"/>
        <rFont val="Tahoma"/>
        <family val="2"/>
      </rPr>
      <t>11</t>
    </r>
  </si>
  <si>
    <r>
      <rPr>
        <sz val="8.5"/>
        <rFont val="Tahoma"/>
        <family val="2"/>
      </rPr>
      <t>Repayment effective from</t>
    </r>
  </si>
  <si>
    <r>
      <rPr>
        <sz val="8.5"/>
        <rFont val="Tahoma"/>
        <family val="2"/>
      </rPr>
      <t>Repayment Frequency</t>
    </r>
    <r>
      <rPr>
        <vertAlign val="superscript"/>
        <sz val="5"/>
        <rFont val="Tahoma"/>
        <family val="2"/>
      </rPr>
      <t>12</t>
    </r>
  </si>
  <si>
    <r>
      <rPr>
        <sz val="8.5"/>
        <rFont val="Tahoma"/>
        <family val="2"/>
      </rPr>
      <t>Repayment Instalment</t>
    </r>
    <r>
      <rPr>
        <vertAlign val="superscript"/>
        <sz val="5"/>
        <rFont val="Tahoma"/>
        <family val="2"/>
      </rPr>
      <t>13,14</t>
    </r>
  </si>
  <si>
    <r>
      <rPr>
        <sz val="8.5"/>
        <rFont val="Tahoma"/>
        <family val="2"/>
      </rPr>
      <t>Base Exchange Rate</t>
    </r>
    <r>
      <rPr>
        <vertAlign val="superscript"/>
        <sz val="5"/>
        <rFont val="Tahoma"/>
        <family val="2"/>
      </rPr>
      <t>16</t>
    </r>
  </si>
  <si>
    <r>
      <rPr>
        <sz val="8.5"/>
        <rFont val="Tahoma"/>
        <family val="2"/>
      </rPr>
      <t>Distribution o</t>
    </r>
  </si>
  <si>
    <r>
      <rPr>
        <sz val="8.5"/>
        <rFont val="Tahoma"/>
        <family val="2"/>
      </rPr>
      <t>f loan packa</t>
    </r>
  </si>
  <si>
    <r>
      <rPr>
        <sz val="8.5"/>
        <rFont val="Tahoma"/>
        <family val="2"/>
      </rPr>
      <t>ges to variou</t>
    </r>
  </si>
  <si>
    <r>
      <rPr>
        <sz val="8.5"/>
        <rFont val="Tahoma"/>
        <family val="2"/>
      </rPr>
      <t>s projects</t>
    </r>
  </si>
  <si>
    <r>
      <rPr>
        <sz val="8.5"/>
        <rFont val="Tahoma"/>
        <family val="2"/>
      </rPr>
      <t>Name of the Projects</t>
    </r>
  </si>
  <si>
    <r>
      <rPr>
        <sz val="8.5"/>
        <rFont val="Tahoma"/>
        <family val="2"/>
      </rPr>
      <t>Total</t>
    </r>
  </si>
  <si>
    <r>
      <rPr>
        <sz val="8.5"/>
        <rFont val="Tahoma"/>
        <family val="2"/>
      </rPr>
      <t>Project 1</t>
    </r>
  </si>
  <si>
    <r>
      <rPr>
        <sz val="8.5"/>
        <rFont val="Tahoma"/>
        <family val="2"/>
      </rPr>
      <t>Project 2</t>
    </r>
  </si>
  <si>
    <r>
      <rPr>
        <sz val="8.5"/>
        <rFont val="Tahoma"/>
        <family val="2"/>
      </rPr>
      <t>Project 3 and so on</t>
    </r>
  </si>
  <si>
    <r>
      <rPr>
        <vertAlign val="superscript"/>
        <sz val="5"/>
        <rFont val="Tahoma"/>
        <family val="2"/>
      </rPr>
      <t xml:space="preserve">1 </t>
    </r>
    <r>
      <rPr>
        <sz val="8.5"/>
        <rFont val="Tahoma"/>
        <family val="2"/>
      </rPr>
      <t>Source of loan means the agency from whom the loan has been taken such as WB, ADB, WMB, PNB, SBI, ICICI, IFC, PFC etc.</t>
    </r>
  </si>
  <si>
    <r>
      <rPr>
        <vertAlign val="superscript"/>
        <sz val="5"/>
        <rFont val="Tahoma"/>
        <family val="2"/>
      </rPr>
      <t xml:space="preserve">2 </t>
    </r>
    <r>
      <rPr>
        <sz val="8.5"/>
        <rFont val="Tahoma"/>
        <family val="2"/>
      </rPr>
      <t>Currency refers to currency of loan such as US$, DM, Yen,Indian Rupee etc.</t>
    </r>
  </si>
  <si>
    <r>
      <rPr>
        <vertAlign val="superscript"/>
        <sz val="5"/>
        <rFont val="Tahoma"/>
        <family val="2"/>
      </rPr>
      <t xml:space="preserve">3 </t>
    </r>
    <r>
      <rPr>
        <sz val="8.5"/>
        <rFont val="Tahoma"/>
        <family val="2"/>
      </rPr>
      <t>Details are to be submitted as on 31.03.2004 for existing assets and as on COD for the remaining assets.</t>
    </r>
  </si>
  <si>
    <r>
      <rPr>
        <vertAlign val="superscript"/>
        <sz val="5"/>
        <rFont val="Tahoma"/>
        <family val="2"/>
      </rPr>
      <t xml:space="preserve">4 </t>
    </r>
    <r>
      <rPr>
        <sz val="8.5"/>
        <rFont val="Tahoma"/>
        <family val="2"/>
      </rPr>
      <t>Where the loan has been refinanced, details in the Form is to be given for the loan refinaced. However, the details of the original loan is to be given seperately in the same form.</t>
    </r>
  </si>
  <si>
    <r>
      <rPr>
        <vertAlign val="superscript"/>
        <sz val="5"/>
        <rFont val="Tahoma"/>
        <family val="2"/>
      </rPr>
      <t xml:space="preserve">5 </t>
    </r>
    <r>
      <rPr>
        <sz val="8.5"/>
        <rFont val="Tahoma"/>
        <family val="2"/>
      </rPr>
      <t>If the Tariff in the petition is claimed seperately for various units, details in the Form is to be given seperately for all the units in the same form.</t>
    </r>
  </si>
  <si>
    <r>
      <rPr>
        <vertAlign val="superscript"/>
        <sz val="5"/>
        <rFont val="Tahoma"/>
        <family val="2"/>
      </rPr>
      <t xml:space="preserve">6 </t>
    </r>
    <r>
      <rPr>
        <sz val="8.5"/>
        <rFont val="Tahoma"/>
        <family val="2"/>
      </rPr>
      <t>Interest type means whether the interest is fixed or floating.</t>
    </r>
  </si>
  <si>
    <r>
      <rPr>
        <vertAlign val="superscript"/>
        <sz val="5"/>
        <rFont val="Tahoma"/>
        <family val="2"/>
      </rPr>
      <t xml:space="preserve">7 </t>
    </r>
    <r>
      <rPr>
        <sz val="8.5"/>
        <rFont val="Tahoma"/>
        <family val="2"/>
      </rPr>
      <t>Base rate means the base as PLR, LIBOR etc. over which the margin is to be added. Applicable base rate on different dates from the date of drawl may also be enclosed.</t>
    </r>
  </si>
  <si>
    <r>
      <rPr>
        <vertAlign val="superscript"/>
        <sz val="5"/>
        <rFont val="Tahoma"/>
        <family val="2"/>
      </rPr>
      <t xml:space="preserve">8 </t>
    </r>
    <r>
      <rPr>
        <sz val="8.5"/>
        <rFont val="Tahoma"/>
        <family val="2"/>
      </rPr>
      <t>Margin means the points over and above the floating rate.</t>
    </r>
  </si>
  <si>
    <r>
      <rPr>
        <vertAlign val="superscript"/>
        <sz val="5"/>
        <rFont val="Tahoma"/>
        <family val="2"/>
      </rPr>
      <t xml:space="preserve">9 </t>
    </r>
    <r>
      <rPr>
        <sz val="8.5"/>
        <rFont val="Tahoma"/>
        <family val="2"/>
      </rPr>
      <t>At times caps/floor are put at which the floating rates are frozen. If such a condition exists, specify the limits.</t>
    </r>
  </si>
  <si>
    <r>
      <rPr>
        <vertAlign val="superscript"/>
        <sz val="5"/>
        <rFont val="Tahoma"/>
        <family val="2"/>
      </rPr>
      <t xml:space="preserve">10 </t>
    </r>
    <r>
      <rPr>
        <sz val="8.5"/>
        <rFont val="Tahoma"/>
        <family val="2"/>
      </rPr>
      <t>Moratorium period refers to the period during which loan servicing liability is not required.</t>
    </r>
  </si>
  <si>
    <r>
      <rPr>
        <vertAlign val="superscript"/>
        <sz val="5"/>
        <rFont val="Tahoma"/>
        <family val="2"/>
      </rPr>
      <t xml:space="preserve">11 </t>
    </r>
    <r>
      <rPr>
        <sz val="8.5"/>
        <rFont val="Tahoma"/>
        <family val="2"/>
      </rPr>
      <t>Repayment period means the repayment of loan such as 7 years, 10 years, 25 years etc.</t>
    </r>
  </si>
  <si>
    <r>
      <rPr>
        <vertAlign val="superscript"/>
        <sz val="5"/>
        <rFont val="Tahoma"/>
        <family val="2"/>
      </rPr>
      <t xml:space="preserve">12 </t>
    </r>
    <r>
      <rPr>
        <sz val="8.5"/>
        <rFont val="Tahoma"/>
        <family val="2"/>
      </rPr>
      <t>Repayment frequency means the interval at which the debt servicing is to be done such as monthly, quarterly, half yearly, annual, etc.</t>
    </r>
  </si>
  <si>
    <r>
      <rPr>
        <vertAlign val="superscript"/>
        <sz val="5"/>
        <rFont val="Tahoma"/>
        <family val="2"/>
      </rPr>
      <t xml:space="preserve">13 </t>
    </r>
    <r>
      <rPr>
        <sz val="8.5"/>
        <rFont val="Tahoma"/>
        <family val="2"/>
      </rPr>
      <t>Where there is more than one drawal/repayment for a loan, the date &amp; amount of each drawal/repayement and its allocation may also be given seperately</t>
    </r>
  </si>
  <si>
    <r>
      <rPr>
        <vertAlign val="superscript"/>
        <sz val="5"/>
        <rFont val="Tahoma"/>
        <family val="2"/>
      </rPr>
      <t xml:space="preserve">14 </t>
    </r>
    <r>
      <rPr>
        <sz val="8.5"/>
        <rFont val="Tahoma"/>
        <family val="2"/>
      </rPr>
      <t>If the repayment  instalment amount and repayment date  can not be worked out from the data furnished above, the repayment schedule to be  furnished seperately.</t>
    </r>
  </si>
  <si>
    <r>
      <rPr>
        <vertAlign val="superscript"/>
        <sz val="5"/>
        <rFont val="Tahoma"/>
        <family val="2"/>
      </rPr>
      <t xml:space="preserve">15 </t>
    </r>
    <r>
      <rPr>
        <sz val="8.5"/>
        <rFont val="Tahoma"/>
        <family val="2"/>
      </rPr>
      <t>In case of Foreign loan,date of each  drawal &amp; repayment alongwith exchange rate at that date may be given.</t>
    </r>
  </si>
  <si>
    <r>
      <rPr>
        <vertAlign val="superscript"/>
        <sz val="5"/>
        <rFont val="Tahoma"/>
        <family val="2"/>
      </rPr>
      <t xml:space="preserve">16 </t>
    </r>
    <r>
      <rPr>
        <sz val="8.5"/>
        <rFont val="Tahoma"/>
        <family val="2"/>
      </rPr>
      <t>Base exchange rate means the exchange rate prevailing as on 31.03.2004 for existing assets and as on COD for the remaining assets.</t>
    </r>
  </si>
  <si>
    <r>
      <rPr>
        <b/>
        <sz val="8.5"/>
        <rFont val="Tahoma"/>
        <family val="2"/>
      </rPr>
      <t>Petitioner</t>
    </r>
  </si>
  <si>
    <r>
      <rPr>
        <b/>
        <sz val="11"/>
        <rFont val="Tahoma"/>
        <family val="2"/>
      </rPr>
      <t>PART-I</t>
    </r>
  </si>
  <si>
    <r>
      <rPr>
        <b/>
        <sz val="11"/>
        <rFont val="Arial"/>
        <family val="2"/>
      </rPr>
      <t>FORM- 12</t>
    </r>
  </si>
  <si>
    <r>
      <rPr>
        <b/>
        <sz val="11"/>
        <rFont val="Tahoma"/>
        <family val="2"/>
      </rPr>
      <t>Calculation of Depreciation Rate</t>
    </r>
  </si>
  <si>
    <r>
      <rPr>
        <sz val="11"/>
        <rFont val="Tahoma"/>
        <family val="2"/>
      </rPr>
      <t>(Amount in lacs)</t>
    </r>
  </si>
  <si>
    <r>
      <rPr>
        <b/>
        <sz val="11"/>
        <rFont val="Tahoma"/>
        <family val="2"/>
      </rPr>
      <t xml:space="preserve">Sl.
</t>
    </r>
    <r>
      <rPr>
        <b/>
        <sz val="11"/>
        <rFont val="Tahoma"/>
        <family val="2"/>
      </rPr>
      <t>no.</t>
    </r>
  </si>
  <si>
    <r>
      <rPr>
        <b/>
        <sz val="11"/>
        <rFont val="Tahoma"/>
        <family val="2"/>
      </rPr>
      <t xml:space="preserve">Depreciation Rates as per CERC's
</t>
    </r>
    <r>
      <rPr>
        <b/>
        <sz val="11"/>
        <rFont val="Tahoma"/>
        <family val="2"/>
      </rPr>
      <t>Depreciation Rate  Schedule</t>
    </r>
  </si>
  <si>
    <r>
      <rPr>
        <b/>
        <sz val="11"/>
        <rFont val="Tahoma"/>
        <family val="2"/>
      </rPr>
      <t>Depreciation Amount</t>
    </r>
  </si>
  <si>
    <r>
      <rPr>
        <b/>
        <sz val="11"/>
        <rFont val="Tahoma"/>
        <family val="2"/>
      </rPr>
      <t xml:space="preserve">4= Col.2 X
</t>
    </r>
    <r>
      <rPr>
        <b/>
        <sz val="11"/>
        <rFont val="Tahoma"/>
        <family val="2"/>
      </rPr>
      <t>Col.3</t>
    </r>
  </si>
  <si>
    <r>
      <rPr>
        <b/>
        <sz val="11"/>
        <rFont val="Tahoma"/>
        <family val="2"/>
      </rPr>
      <t xml:space="preserve">Weighted Average
</t>
    </r>
    <r>
      <rPr>
        <b/>
        <sz val="11"/>
        <rFont val="Tahoma"/>
        <family val="2"/>
      </rPr>
      <t>Depreciation Rate (%)</t>
    </r>
  </si>
  <si>
    <r>
      <rPr>
        <b/>
        <vertAlign val="superscript"/>
        <sz val="6"/>
        <rFont val="Tahoma"/>
        <family val="2"/>
      </rPr>
      <t xml:space="preserve">1 </t>
    </r>
    <r>
      <rPr>
        <sz val="11"/>
        <rFont val="Tahoma"/>
        <family val="2"/>
      </rPr>
      <t>Name of the Assets should conform to the description of the assets mentioned in Depreciation Schedule appended to the Notifcation.</t>
    </r>
  </si>
  <si>
    <r>
      <rPr>
        <b/>
        <sz val="11"/>
        <rFont val="Tahoma"/>
        <family val="2"/>
      </rPr>
      <t>Petitioner</t>
    </r>
  </si>
  <si>
    <t>t</t>
  </si>
  <si>
    <t>Appendix-I</t>
  </si>
  <si>
    <t>Computation of Energy Charges</t>
  </si>
  <si>
    <t>Name of the Company</t>
  </si>
  <si>
    <t>Name of the Power Station</t>
  </si>
  <si>
    <t xml:space="preserve">Description </t>
  </si>
  <si>
    <t xml:space="preserve">Unit </t>
  </si>
  <si>
    <t>Gross Station Heat Rate</t>
  </si>
  <si>
    <t xml:space="preserve">Kcal/kWh </t>
  </si>
  <si>
    <t xml:space="preserve">Auxiliary Energy Consumption </t>
  </si>
  <si>
    <t>%</t>
  </si>
  <si>
    <t>Specific Oil Consumption</t>
  </si>
  <si>
    <t>ml/kWh</t>
  </si>
  <si>
    <t>Kcal/L</t>
  </si>
  <si>
    <t>kCal/kg</t>
  </si>
  <si>
    <t xml:space="preserve">Rs./MT </t>
  </si>
  <si>
    <t>Rs./ml</t>
  </si>
  <si>
    <t>Rate of Energy Charge from Secondary Fuel Oil</t>
  </si>
  <si>
    <t>Heat Contribution from SFO</t>
  </si>
  <si>
    <t>Heat Contribution from Coal</t>
  </si>
  <si>
    <t>Specific Coal Consumption</t>
  </si>
  <si>
    <t>kg/kWh</t>
  </si>
  <si>
    <t xml:space="preserve">Rate of Energy Charge from Coal  </t>
  </si>
  <si>
    <t>(Petitioner)</t>
  </si>
  <si>
    <t>(D16*D12+(((D10-D13/1000*D12)/D14)*D15/1000))/(1-D11)</t>
  </si>
  <si>
    <t>PART- I</t>
  </si>
  <si>
    <t>FORM 15</t>
  </si>
  <si>
    <r>
      <t>Details/Information to be Submitted in respect of Fuel for Computation of Energy Charges</t>
    </r>
    <r>
      <rPr>
        <b/>
        <u/>
        <vertAlign val="superscript"/>
        <sz val="10.5"/>
        <rFont val="Arial"/>
        <family val="2"/>
      </rPr>
      <t>1</t>
    </r>
  </si>
  <si>
    <t>(COAL)</t>
  </si>
  <si>
    <t>Name of the Petitioner</t>
  </si>
  <si>
    <t>Name of the Generating Station</t>
  </si>
  <si>
    <r>
      <t xml:space="preserve">S.
</t>
    </r>
    <r>
      <rPr>
        <b/>
        <sz val="10.5"/>
        <rFont val="Arial"/>
        <family val="2"/>
      </rPr>
      <t xml:space="preserve">No
</t>
    </r>
    <r>
      <rPr>
        <b/>
        <sz val="10.5"/>
        <rFont val="Arial"/>
        <family val="2"/>
      </rPr>
      <t>.</t>
    </r>
  </si>
  <si>
    <t>Month</t>
  </si>
  <si>
    <t>3rd Month
(from COD  )</t>
  </si>
  <si>
    <t>2nd Month
(from COD  )</t>
  </si>
  <si>
    <t>1st Month
(from COD  )</t>
  </si>
  <si>
    <r>
      <t>Dome</t>
    </r>
    <r>
      <rPr>
        <sz val="10"/>
        <rFont val="Tahoma"/>
        <family val="2"/>
      </rPr>
      <t>stic</t>
    </r>
  </si>
  <si>
    <r>
      <t>Impo</t>
    </r>
    <r>
      <rPr>
        <sz val="10"/>
        <rFont val="Tahoma"/>
        <family val="2"/>
      </rPr>
      <t>rted</t>
    </r>
  </si>
  <si>
    <r>
      <t>Domes</t>
    </r>
    <r>
      <rPr>
        <sz val="10"/>
        <rFont val="Tahoma"/>
        <family val="2"/>
      </rPr>
      <t>tic</t>
    </r>
  </si>
  <si>
    <r>
      <t>Importe</t>
    </r>
    <r>
      <rPr>
        <sz val="10"/>
        <rFont val="Tahoma"/>
        <family val="2"/>
      </rPr>
      <t>d</t>
    </r>
  </si>
  <si>
    <t>Domestic</t>
  </si>
  <si>
    <t>Imported</t>
  </si>
  <si>
    <t>Quantity of Coal/Lignite supplied by Coal/Lignite Company</t>
  </si>
  <si>
    <t>(MMT)</t>
  </si>
  <si>
    <t>NA</t>
  </si>
  <si>
    <t>MU month</t>
  </si>
  <si>
    <t>Adjustment (+/-) in quantity supplied made by Coal/Lignite Company</t>
  </si>
  <si>
    <t>Heat rate
(Kcal/Kwh)</t>
  </si>
  <si>
    <t>Coal supplied by Coal/Lignite Company (1+2)</t>
  </si>
  <si>
    <t>GCV (Kcal/Kg)</t>
  </si>
  <si>
    <t>Normative Transit &amp; Handling Losses (For coal/Lignite based Projects)</t>
  </si>
  <si>
    <t>Coal rate (Kg/Kwh)</t>
  </si>
  <si>
    <t>Net coal / Lignite Supplied (3-4)</t>
  </si>
  <si>
    <t>Amount charged by the Coal /Lignite Company</t>
  </si>
  <si>
    <t>(Rs.)</t>
  </si>
  <si>
    <t>Adjustment (+/-) in amount charged made by Coal/Lignite Company</t>
  </si>
  <si>
    <t>Total amount Charged (6+7)</t>
  </si>
  <si>
    <t>Transportation charges by rail/ship/road transport</t>
  </si>
  <si>
    <t>( Rs.)</t>
  </si>
  <si>
    <t>Adjustment (+/-) in amount charged made by Railways/Transport Company</t>
  </si>
  <si>
    <t>Demurrage Charges, if any</t>
  </si>
  <si>
    <t>Cost of diesel in transporting coal through MGR system, if applicable</t>
  </si>
  <si>
    <t>Total Transportation Charges (9+/-10- 11+12)</t>
  </si>
  <si>
    <t>Total amount Charged for coal/lignite supplied including Transportation (8+13)</t>
  </si>
  <si>
    <t>Landed cost of coal/ Lignite</t>
  </si>
  <si>
    <t>Rs./MT</t>
  </si>
  <si>
    <t>Blending Ratio (Domestic/Imported)</t>
  </si>
  <si>
    <t>Weighted average cost of coal/
Lignite for preceding three months</t>
  </si>
  <si>
    <t xml:space="preserve">
Rs./MT</t>
  </si>
  <si>
    <t>GCV of Domestic
Coal as per bill of Coal Company</t>
  </si>
  <si>
    <r>
      <t xml:space="preserve">(kCal/ </t>
    </r>
    <r>
      <rPr>
        <sz val="10"/>
        <rFont val="Tahoma"/>
        <family val="2"/>
      </rPr>
      <t>Kg)</t>
    </r>
  </si>
  <si>
    <t>GCV of Imported Coal as per bill Coal Company</t>
  </si>
  <si>
    <t>Weighted average GCV of coal/
Lignite as Billed</t>
  </si>
  <si>
    <t>GCV of Domestic Coal as received at Station</t>
  </si>
  <si>
    <t>GCV of Imported Coal as received at Station</t>
  </si>
  <si>
    <t>Weighted average GCV of coal/
Lignite as Received</t>
  </si>
  <si>
    <t>Note:</t>
  </si>
  <si>
    <t>1. Similar details to be furnished for natural gas/liquid fuel for CCGT station and secondary fuel oil for coal/lignite based thermal plants with appropriate units.</t>
  </si>
  <si>
    <t xml:space="preserve"> </t>
  </si>
  <si>
    <t>2. As billed and as received GCV, quantity of coal, and price should be submitted as certified   by statutory auditor.</t>
  </si>
  <si>
    <t>3 .Imported  coal was not procured in the month of January ,February and March ,2014</t>
  </si>
  <si>
    <r>
      <t>Details/Information to be Submitted in respect of Fuel for Computation of Energy Charges</t>
    </r>
    <r>
      <rPr>
        <b/>
        <u/>
        <vertAlign val="superscript"/>
        <sz val="12"/>
        <rFont val="Times New Roman"/>
        <family val="1"/>
      </rPr>
      <t>1</t>
    </r>
  </si>
  <si>
    <t>( OIL )</t>
  </si>
  <si>
    <t>S.
No
.</t>
  </si>
  <si>
    <t>Unit</t>
  </si>
  <si>
    <t>For preceding</t>
  </si>
  <si>
    <t>Quantity of Oil supplied by Oil Company</t>
  </si>
  <si>
    <t>(KL)</t>
  </si>
  <si>
    <t>Adjustment (+/-) in quantity supplied made by OIL Company</t>
  </si>
  <si>
    <t>Oil supplied by Oil Company (1+2)</t>
  </si>
  <si>
    <t>Net Oil Supplied (3-4)</t>
  </si>
  <si>
    <t>Amount charged by the Oil Company</t>
  </si>
  <si>
    <t>Adjustment (+/-) in amount charged made by Oil Company</t>
  </si>
  <si>
    <t>Cost of diesel in transporting Oil  through MGR system, if applicable</t>
  </si>
  <si>
    <t>Total amount Charged for Oil supplied including Transportation (8+13)</t>
  </si>
  <si>
    <t>Landed cost of Oil</t>
  </si>
  <si>
    <t>Rs./KL</t>
  </si>
  <si>
    <t>Weighted average cost of Oil for preceding three months</t>
  </si>
  <si>
    <t xml:space="preserve">
Rs./KL</t>
  </si>
  <si>
    <t>GCV of Domestic Oil as per bill of Oil Company</t>
  </si>
  <si>
    <t>(kCal/ Lit)</t>
  </si>
  <si>
    <t>GCV of Imported Oil as per bill of Oil Company</t>
  </si>
  <si>
    <t>Weighted average GCV of Oil as Billed</t>
  </si>
  <si>
    <t>GCV of Domestic Oil as received at Station</t>
  </si>
  <si>
    <t>GCV of Imported Oil as received at Station</t>
  </si>
  <si>
    <t>Weighted average GCV of Oil  as Received</t>
  </si>
  <si>
    <t xml:space="preserve">PART-I </t>
  </si>
  <si>
    <t>FORM- 13A</t>
  </si>
  <si>
    <t>Calculation of Interest on Normative Loan</t>
  </si>
  <si>
    <t>Sl. No.</t>
  </si>
  <si>
    <t>Particulars</t>
  </si>
  <si>
    <t>Gross Normative loan – Opening</t>
  </si>
  <si>
    <t>Net Normative loan – Opening</t>
  </si>
  <si>
    <t>Less: Decrease due to repayment during the year / period</t>
  </si>
  <si>
    <t>Net Normative loan - Closing</t>
  </si>
  <si>
    <t>Average Normative loan</t>
  </si>
  <si>
    <t>Weighted average rate of interest</t>
  </si>
  <si>
    <t>Interest on Loan</t>
  </si>
  <si>
    <t>CAPITAL</t>
  </si>
  <si>
    <t>CAPITAL COST OPENING</t>
  </si>
  <si>
    <t>LIABILITIES DISCHARGED DURING THE YEAR</t>
  </si>
  <si>
    <t>CAPITAL COST CLOSING</t>
  </si>
  <si>
    <t>AVERAGE CAPITAL COST</t>
  </si>
  <si>
    <t>EQUITY</t>
  </si>
  <si>
    <t>EQUITY OPENING @30% OF CAPITAL</t>
  </si>
  <si>
    <t>EQUITY CLOSING</t>
  </si>
  <si>
    <t>AVERAGE</t>
  </si>
  <si>
    <t>RATE OF DEPRECIATION</t>
  </si>
  <si>
    <t>Freehold Land</t>
  </si>
  <si>
    <t>90% DEPRECIABLE VALUE EXCLUDING LAND &amp; LAND RIGHTS</t>
  </si>
  <si>
    <t>DEPRECIATION RESERVE (OPENING)</t>
  </si>
  <si>
    <t>DEPRECIATION TO BE RECOVERED</t>
  </si>
  <si>
    <t>CUMULATIVE DEPRECIATION</t>
  </si>
  <si>
    <t>From COD Unit 1 to COD of Unit 2</t>
  </si>
  <si>
    <t>From COD Unit 2 to 31.03.2017</t>
  </si>
  <si>
    <t>FY 2017-18</t>
  </si>
  <si>
    <t>FY 2018-19</t>
  </si>
  <si>
    <t>Summary Sheet</t>
  </si>
  <si>
    <t xml:space="preserve">Name of the Power Station:                                                           </t>
  </si>
  <si>
    <t xml:space="preserve">Name of the Company :                                                               </t>
  </si>
  <si>
    <t>FORM- 1</t>
  </si>
  <si>
    <t>Telengana</t>
  </si>
  <si>
    <t>FORM-11</t>
  </si>
  <si>
    <t>FORM 14</t>
  </si>
  <si>
    <t>Depreciation</t>
  </si>
  <si>
    <t>Interest on Working Capital</t>
  </si>
  <si>
    <t>O &amp; M Expenses</t>
  </si>
  <si>
    <t>Total</t>
  </si>
  <si>
    <t>Rate of Energy Charge from Secondary Fuel (REC)</t>
  </si>
  <si>
    <t>Singareni Thermal Power Project</t>
  </si>
  <si>
    <t>FORM- 3</t>
  </si>
  <si>
    <t>The Singareni Collieries Company Limited</t>
  </si>
  <si>
    <t>Sub-critical - Drum type controlled circulation with two pass type gas path arrangements with single reheat.</t>
  </si>
  <si>
    <t>Special features of the Plant</t>
  </si>
  <si>
    <t> NA</t>
  </si>
  <si>
    <t>Balancing Reservoir</t>
  </si>
  <si>
    <t>ESP,AHP and Ash Water Re-circulation System</t>
  </si>
  <si>
    <t>Any other special features</t>
  </si>
  <si>
    <t>Primary Fuel</t>
  </si>
  <si>
    <t>Secondary Fuel</t>
  </si>
  <si>
    <t>Alternate Fuels</t>
  </si>
  <si>
    <t>Heavy Fuel Oil / Light Diesel Oil</t>
  </si>
  <si>
    <t>NA </t>
  </si>
  <si>
    <t>Details</t>
  </si>
  <si>
    <t>Unit-I</t>
  </si>
  <si>
    <t>Unit-II</t>
  </si>
  <si>
    <t>Installed Capacity (IC)</t>
  </si>
  <si>
    <t>600 MW</t>
  </si>
  <si>
    <t>Date of Commercial Operation (COD)</t>
  </si>
  <si>
    <t>Is it a Pit Head or Non-pit head station?</t>
  </si>
  <si>
    <t>Non-pit head station</t>
  </si>
  <si>
    <t>Stator (Water cooled), Rotor (Hydrogen cooled)-Closed circuit cooling</t>
  </si>
  <si>
    <t>Type of Boiler Feed Pump (Steam driven or Electrically driven)</t>
  </si>
  <si>
    <t>2 TDBFP, 1 MDBFP(STANDBY)</t>
  </si>
  <si>
    <t>FORM- 2</t>
  </si>
  <si>
    <t xml:space="preserve"> Plant Characteristics</t>
  </si>
  <si>
    <t xml:space="preserve">Coal </t>
  </si>
  <si>
    <t>25.09.2016</t>
  </si>
  <si>
    <t>02.12.2016</t>
  </si>
  <si>
    <t>Name of the Company:</t>
  </si>
  <si>
    <t>Name of the Power Station:</t>
  </si>
  <si>
    <t>Breakdown</t>
  </si>
  <si>
    <t>Cost in Rs. Crores</t>
  </si>
  <si>
    <t>(Rs. Crores)</t>
  </si>
  <si>
    <t>BTG package</t>
  </si>
  <si>
    <t>BTG Supply</t>
  </si>
  <si>
    <t>BTG Erection</t>
  </si>
  <si>
    <t>BTG Freight</t>
  </si>
  <si>
    <t>BTG Civil</t>
  </si>
  <si>
    <t>Subtotal</t>
  </si>
  <si>
    <t>PVC</t>
  </si>
  <si>
    <t>Increase in taxes and duties</t>
  </si>
  <si>
    <t>BTG Grand Total</t>
  </si>
  <si>
    <t>BOP package</t>
  </si>
  <si>
    <t>BOP Mechanical&amp; Electrical (supply)</t>
  </si>
  <si>
    <t>BOP Civil</t>
  </si>
  <si>
    <t>BOP Erection</t>
  </si>
  <si>
    <t>BOP Freight</t>
  </si>
  <si>
    <t>Estimated PVC</t>
  </si>
  <si>
    <t>BOP Total</t>
  </si>
  <si>
    <t>Other works undertaken by SCCL</t>
  </si>
  <si>
    <t>Land</t>
  </si>
  <si>
    <t>Survey &amp; soil investigation</t>
  </si>
  <si>
    <t>Site Dev, Enabling, temp Sheds etc.</t>
  </si>
  <si>
    <t> -</t>
  </si>
  <si>
    <t>Roads &amp; Culverts</t>
  </si>
  <si>
    <t>Coal Transport Roads out of BOP savings</t>
  </si>
  <si>
    <t>Boundary Walls</t>
  </si>
  <si>
    <t>Reservoir</t>
  </si>
  <si>
    <t>Water supply-1 TMC</t>
  </si>
  <si>
    <t>Water supply-2 TMC</t>
  </si>
  <si>
    <t>Gate Complex, Security, etc.</t>
  </si>
  <si>
    <t>Railway Siding</t>
  </si>
  <si>
    <t xml:space="preserve">Environment </t>
  </si>
  <si>
    <t>CSR</t>
  </si>
  <si>
    <t>Weigh Bridges, Fire Tender</t>
  </si>
  <si>
    <t>Start up Power &amp; common Equipment</t>
  </si>
  <si>
    <t>Construction Power</t>
  </si>
  <si>
    <t>Furniture &amp; office automation</t>
  </si>
  <si>
    <t>Misc. Expenditure</t>
  </si>
  <si>
    <t>CISF</t>
  </si>
  <si>
    <r>
      <t>Other works undertaken by SCCL</t>
    </r>
    <r>
      <rPr>
        <b/>
        <sz val="9"/>
        <color rgb="FF000000"/>
        <rFont val="Arial"/>
        <family val="2"/>
      </rPr>
      <t xml:space="preserve"> Total</t>
    </r>
  </si>
  <si>
    <t>Others</t>
  </si>
  <si>
    <t>Contingencies</t>
  </si>
  <si>
    <t>Establishment Costs</t>
  </si>
  <si>
    <t>Consultancy &amp; Engineering</t>
  </si>
  <si>
    <t>Start up Fuel</t>
  </si>
  <si>
    <t>Operator Training</t>
  </si>
  <si>
    <t>Development Expenses</t>
  </si>
  <si>
    <t>Margin Money</t>
  </si>
  <si>
    <t>Financing Expenses</t>
  </si>
  <si>
    <t>IDC</t>
  </si>
  <si>
    <t>Others Total</t>
  </si>
  <si>
    <t>Capital Cost including IDC &amp; FC</t>
  </si>
  <si>
    <t xml:space="preserve">Note: </t>
  </si>
  <si>
    <t>2. The values are rounded up to the nearest whole number.</t>
  </si>
  <si>
    <t>Break up of Capital Cost for Coal/ Lignite based projects</t>
  </si>
  <si>
    <t>FORM- 5B</t>
  </si>
  <si>
    <t>FORM- 9</t>
  </si>
  <si>
    <t>Mancherial</t>
  </si>
  <si>
    <t>Not applicable</t>
  </si>
  <si>
    <t>Name of the Assets1</t>
  </si>
  <si>
    <t>Gross block as on 31.03.2006 or as on COD,whichever is later.</t>
  </si>
  <si>
    <t xml:space="preserve">Gross block as on 02.12.2016 </t>
  </si>
  <si>
    <t>Depreciation for 2.12.2016 to 31.03.2017</t>
  </si>
  <si>
    <t>Depreciation for 2017-18</t>
  </si>
  <si>
    <t>Gross block as on 31.03.2017</t>
  </si>
  <si>
    <t>MU</t>
  </si>
  <si>
    <t>-</t>
  </si>
  <si>
    <t>LDO</t>
  </si>
  <si>
    <t>HFO</t>
  </si>
  <si>
    <t>2017-18</t>
  </si>
  <si>
    <t>2018-19</t>
  </si>
  <si>
    <t>Days in Period</t>
  </si>
  <si>
    <t>Calculation of Interest on Working Capital</t>
  </si>
  <si>
    <t>Form reference</t>
  </si>
  <si>
    <t xml:space="preserve">Name of the Power Station </t>
  </si>
  <si>
    <t>Part-I Form 13, APERC Regulation 1 of 2008</t>
  </si>
  <si>
    <r>
      <t>Table 16: Calculation of Weighted Average Rate of Interest on Actual Loans</t>
    </r>
    <r>
      <rPr>
        <b/>
        <vertAlign val="superscript"/>
        <sz val="9"/>
        <color theme="1"/>
        <rFont val="Arial"/>
        <family val="2"/>
      </rPr>
      <t>1</t>
    </r>
  </si>
  <si>
    <t>Name of the Company :  The Singareni Collieries Company Limited</t>
  </si>
  <si>
    <t>Name of the Power Station : Singareni Thermal Power Project</t>
  </si>
  <si>
    <t xml:space="preserve">                                                                        ( Amount in Rs. Crores )</t>
  </si>
  <si>
    <t>Sl.</t>
  </si>
  <si>
    <t>FY</t>
  </si>
  <si>
    <t>No</t>
  </si>
  <si>
    <t>15-16</t>
  </si>
  <si>
    <t>16-17</t>
  </si>
  <si>
    <t>17-18</t>
  </si>
  <si>
    <t>18-19</t>
  </si>
  <si>
    <t>Loan-1</t>
  </si>
  <si>
    <t xml:space="preserve">Gross Loan - Opening </t>
  </si>
  <si>
    <t>Cumulative repayments of Loans up to previous year</t>
  </si>
  <si>
    <t xml:space="preserve">                 -   </t>
  </si>
  <si>
    <t xml:space="preserve">Net Loan - Opening </t>
  </si>
  <si>
    <t>Add: Drawal(s) during the year</t>
  </si>
  <si>
    <t>Less: Repayment (s) of Loans during the year</t>
  </si>
  <si>
    <t xml:space="preserve">Net Loan - Closing </t>
  </si>
  <si>
    <t>Average Net Loan</t>
  </si>
  <si>
    <t>Rate of Interest on Loan</t>
  </si>
  <si>
    <t>Loan-2</t>
  </si>
  <si>
    <t>Total Loan</t>
  </si>
  <si>
    <t>Gross Loan - Opening</t>
  </si>
  <si>
    <t xml:space="preserve">                  -   </t>
  </si>
  <si>
    <t xml:space="preserve">                -   </t>
  </si>
  <si>
    <r>
      <t>1</t>
    </r>
    <r>
      <rPr>
        <sz val="9"/>
        <color rgb="FF000000"/>
        <rFont val="Arial"/>
        <family val="2"/>
      </rPr>
      <t>In case of Foreign Loans, the calculations in Indian Rupees is to be furnished. However, the calculations in Original currency is also to be furnished separately in the same form.</t>
    </r>
  </si>
  <si>
    <t>02/12/2016 to 31/3/2017</t>
  </si>
  <si>
    <t>Actual</t>
  </si>
  <si>
    <t>01/04/2016 to 24/9/2016</t>
  </si>
  <si>
    <t>25/09/2016 to 01/12/2016</t>
  </si>
  <si>
    <t>Table 14: Calculation of IDC &amp; Financing Charges</t>
  </si>
  <si>
    <t>2X600 MW Singareni Thermal Power Project</t>
  </si>
  <si>
    <t>Draw down schedule for calculation of IDC &amp; Financing Charges</t>
  </si>
  <si>
    <t>SI. No.</t>
  </si>
  <si>
    <t>Till COD of Unit-II</t>
  </si>
  <si>
    <t>11-12 Q3</t>
  </si>
  <si>
    <t>11-12 Q4</t>
  </si>
  <si>
    <t>12-13 Q1</t>
  </si>
  <si>
    <t>12-13 Q2</t>
  </si>
  <si>
    <t>12-13Q3</t>
  </si>
  <si>
    <t>12-13Q4</t>
  </si>
  <si>
    <t>13-14 Q1</t>
  </si>
  <si>
    <t>13-14 Q2</t>
  </si>
  <si>
    <t>13-14 Q3</t>
  </si>
  <si>
    <t>13-14 Q4</t>
  </si>
  <si>
    <t>14-15 Q1</t>
  </si>
  <si>
    <t>14-15 Q2</t>
  </si>
  <si>
    <t>14-15 Q3</t>
  </si>
  <si>
    <t>14-15 Q4</t>
  </si>
  <si>
    <t>15-16 Q1</t>
  </si>
  <si>
    <t>15-16 Q2</t>
  </si>
  <si>
    <t xml:space="preserve">15-16 </t>
  </si>
  <si>
    <t>Q3 (upto 14.01.2016)</t>
  </si>
  <si>
    <t>Foreign Loans</t>
  </si>
  <si>
    <t>Indian Loans</t>
  </si>
  <si>
    <t>Amount in Rs. Crores</t>
  </si>
  <si>
    <t>Indian Loan in Rs. Crores</t>
  </si>
  <si>
    <t>Drawn Down Amount</t>
  </si>
  <si>
    <t>Principal</t>
  </si>
  <si>
    <t>Financing Charges</t>
  </si>
  <si>
    <t>Interest Paid</t>
  </si>
  <si>
    <t>N</t>
  </si>
  <si>
    <t>Y</t>
  </si>
  <si>
    <t>Note: Drawal of debt and equity shall be on paripassu basis to meet the commissioning schedule. Drawal of higher equity in the beginning is permissible</t>
  </si>
  <si>
    <t>BTG</t>
  </si>
  <si>
    <t>M/s BHEL</t>
  </si>
  <si>
    <t>BOP</t>
  </si>
  <si>
    <t>e. As per Part-I, Form-5D of APERC Regulation 1 of 2008</t>
  </si>
  <si>
    <t>Table 11 :  Breakup of Major Construction / Supply/ Service packages</t>
  </si>
  <si>
    <t>SI.No</t>
  </si>
  <si>
    <t>Name/ No. of
Construction/
Supply/ Service
Package</t>
  </si>
  <si>
    <t>Name of the 
Vendor</t>
  </si>
  <si>
    <t>Scope of Work  
(in line with head of Cost break-
ups as possible)</t>
  </si>
  <si>
    <t>Whether
awarded
through ICB/
DCB/
Departmentally/
deposit Work</t>
  </si>
  <si>
    <t>No. of 
Bids
received</t>
  </si>
  <si>
    <t>Date of 
Award</t>
  </si>
  <si>
    <t>Date of State of
 Work</t>
  </si>
  <si>
    <t>Date of 
completion 
of work</t>
  </si>
  <si>
    <t>Value of 
the 
Award
(in Rs.
Crores)</t>
  </si>
  <si>
    <t>Firm or
with
escalation
in prices</t>
  </si>
  <si>
    <t>Actual
expenditure till
the completion
or up to COD
whichever is 
either (Rs.
Crores)</t>
  </si>
  <si>
    <t>Railway siding
consultancy</t>
  </si>
  <si>
    <t>M/s MBECL</t>
  </si>
  <si>
    <t>M/s RITES
Limited.</t>
  </si>
  <si>
    <t>Supply of Main 
Equipment (Ex-
work Price)</t>
  </si>
  <si>
    <t>Erection &amp; 
Commissioning</t>
  </si>
  <si>
    <t>Associated Civil 
Works</t>
  </si>
  <si>
    <t>Ex Manufacturing 
works for Main
Equipment</t>
  </si>
  <si>
    <t>Installation 
Services -
Structual Works</t>
  </si>
  <si>
    <t>Project
Management
Cons Rites For 
Railway Siding</t>
  </si>
  <si>
    <t>Nomination</t>
  </si>
  <si>
    <t>ICB</t>
  </si>
  <si>
    <t>Limited Tender</t>
  </si>
  <si>
    <t>11.11.2011</t>
  </si>
  <si>
    <t>28.09.2013</t>
  </si>
  <si>
    <t>27.04.2010</t>
  </si>
  <si>
    <t>26.09.2012</t>
  </si>
  <si>
    <t>26.09.2013</t>
  </si>
  <si>
    <t>26.09.2014</t>
  </si>
  <si>
    <t>26.11.2013</t>
  </si>
  <si>
    <t>Engineering,
Procurement
&amp;Construction of 
Water Supply
Scheme in two
Stages (Stage I
Pump House
near Devulwada
Village, kotapalli
Mandal and
Stage II Pump
House near
Chennur</t>
  </si>
  <si>
    <t>Township &amp; Guest House &amp; other amenities</t>
  </si>
  <si>
    <t>BAY,CT and CVT</t>
  </si>
  <si>
    <t>O&amp;M-STEAG</t>
  </si>
  <si>
    <t>Estimated add cap for 2018-19</t>
  </si>
  <si>
    <t>Add cap from COD of unit 2 to 31.03.2017</t>
  </si>
  <si>
    <t>Add cap during 2017-18</t>
  </si>
  <si>
    <t>As per Revised Estimates approved by the board.</t>
  </si>
  <si>
    <t>1. In case of time and cost overrun, a detailed note giving reasons of such time and cost overrun should be submitted clearly bringing out the agency responsible and whether such time &amp; cost overrun was beyond the control of the generating company.</t>
  </si>
  <si>
    <t>UPTO COD of UNIT 2</t>
  </si>
  <si>
    <t>COD 2 to 31.03.2017</t>
  </si>
  <si>
    <t>Plants Roads &amp; Culverts</t>
  </si>
  <si>
    <t>Mandatory Capital Expenditure under MOEF clearance.</t>
  </si>
  <si>
    <t>Start up Power &amp; communication Equipment</t>
  </si>
  <si>
    <t>IDC AND Financing Expenditure</t>
  </si>
  <si>
    <t>Total estmated expenditure as on 31.03.2019 (submission dated 03.04.2017)</t>
  </si>
  <si>
    <t>As per Revised Estimates approved by the board. (RCE 2)</t>
  </si>
  <si>
    <t>Annexure -A</t>
  </si>
  <si>
    <t>Liability included</t>
  </si>
  <si>
    <t>Estimated liability discharged</t>
  </si>
  <si>
    <t>O&amp;M steag</t>
  </si>
  <si>
    <t>Liability openning</t>
  </si>
  <si>
    <t xml:space="preserve">Closing liability </t>
  </si>
  <si>
    <t>Liability statement as per submission dated 3.4.2017</t>
  </si>
  <si>
    <t>Item</t>
  </si>
  <si>
    <t>Liability as allowed by Hon'ble TSERC</t>
  </si>
  <si>
    <t>Liability discharged</t>
  </si>
  <si>
    <t>Additional Capitalisation.</t>
  </si>
  <si>
    <t>Capital cost closing.</t>
  </si>
  <si>
    <t>Capital cost opening</t>
  </si>
  <si>
    <t xml:space="preserve"> Capital cost approved vide TSERC tariff order dated 19.06.2017 vis-à-vis revised capital cost</t>
  </si>
  <si>
    <t>Approved</t>
  </si>
  <si>
    <t>Capital cost  as allowed by Hon'ble TSERC and revised submission.</t>
  </si>
  <si>
    <t>Revised Submission</t>
  </si>
  <si>
    <t>2TMC</t>
  </si>
  <si>
    <t>Railway</t>
  </si>
  <si>
    <t>Not capitalised on COD</t>
  </si>
  <si>
    <t>Revised claim as on COD of U 2</t>
  </si>
  <si>
    <t>Total expenditure as on COD of U 2 submitted before th commission</t>
  </si>
  <si>
    <t>Revised Cap cost U # 1</t>
  </si>
  <si>
    <t>Revised Cap cost U # 2</t>
  </si>
  <si>
    <t>Expenditure as on COD of unit 2</t>
  </si>
  <si>
    <t>Expenditure as on COD of Unit 1</t>
  </si>
  <si>
    <t>Computation of U 1 capital cost as per TSERC methodology</t>
  </si>
  <si>
    <t>Loan-1 (PFC-1)</t>
  </si>
  <si>
    <t>Loan-2 (PFC-2)</t>
  </si>
  <si>
    <t>Loan-3 (REC)</t>
  </si>
  <si>
    <t>Loan1 - PFC</t>
  </si>
  <si>
    <t>Loan2 - PFC</t>
  </si>
  <si>
    <t>Loan2 - REC</t>
  </si>
  <si>
    <t>Tot int</t>
  </si>
  <si>
    <t>Days</t>
  </si>
  <si>
    <t>Freehold Lands - STP</t>
  </si>
  <si>
    <t>Roads Bridgesculve</t>
  </si>
  <si>
    <t>Buildings (Factory)</t>
  </si>
  <si>
    <t>Buildings (Others)</t>
  </si>
  <si>
    <t>Plant &amp; Machinery</t>
  </si>
  <si>
    <t>Furniture &amp; Fixtures</t>
  </si>
  <si>
    <t>Computers &amp; Peripher</t>
  </si>
  <si>
    <t>Communication &amp; Equipment</t>
  </si>
  <si>
    <t>Drawn</t>
  </si>
  <si>
    <t>Gross block as on 31.03.2018</t>
  </si>
  <si>
    <t>Average Depreciation rate 2017-18</t>
  </si>
  <si>
    <t>Average Depreciation rate from 2.12.2016 to 31.03.2017</t>
  </si>
  <si>
    <t>2016-17</t>
  </si>
  <si>
    <t>Particular</t>
  </si>
  <si>
    <t>Savings of interest</t>
  </si>
  <si>
    <t>Computation of  interest rate including the benefit for loan restructuring</t>
  </si>
  <si>
    <t>Actual capital cost as on COD of unit 1 ( 25.09.2016)</t>
  </si>
  <si>
    <t>Actual capital cost as on COD of unit 2 (02.12.2016)</t>
  </si>
  <si>
    <t>Rs.</t>
  </si>
  <si>
    <t>12 years</t>
  </si>
  <si>
    <t>PFC-Loan 1</t>
  </si>
  <si>
    <t xml:space="preserve">REC </t>
  </si>
  <si>
    <t>(Amount in Rs Crores)</t>
  </si>
  <si>
    <t>Petitioner</t>
  </si>
  <si>
    <t>Details of Project Specific Loans</t>
  </si>
  <si>
    <t>Package 1</t>
  </si>
  <si>
    <t>Package  2</t>
  </si>
  <si>
    <t>Package  3</t>
  </si>
  <si>
    <t>3.10</t>
  </si>
  <si>
    <t xml:space="preserve">Coal Transport Roads </t>
  </si>
  <si>
    <t>As notified by PFC with 3 years reset</t>
  </si>
  <si>
    <t>Quarterly 
instalments</t>
  </si>
  <si>
    <t>PFC-Loan 2</t>
  </si>
  <si>
    <t>PL note : The relevant document of loan restructuring is attached.</t>
  </si>
  <si>
    <t>Actual capital cost as on 31.03.2017</t>
  </si>
  <si>
    <t>Actual capital cost as on 31.03.2018</t>
  </si>
  <si>
    <t>Amount Disbursed upto 31.03.2017</t>
  </si>
  <si>
    <t>Liability as on 31.03.2017</t>
  </si>
  <si>
    <t>Liability as on 31.03.2018</t>
  </si>
  <si>
    <t>Amount Disbursed upto 31.03.2018</t>
  </si>
  <si>
    <t>Actual capital cost as on 31.03.2019</t>
  </si>
  <si>
    <t>Depreciation from COD 2 to 31.03.2017</t>
  </si>
  <si>
    <t>Depreciation from 31.03.2017 to 31.03.2018</t>
  </si>
  <si>
    <t>Depreciation from 31.03.2018 to 31.03.2019</t>
  </si>
  <si>
    <t>Calculation of Depreciation Rate</t>
  </si>
  <si>
    <t>Depreciation Rate</t>
  </si>
  <si>
    <t>Communication &amp; Equip</t>
  </si>
  <si>
    <t>Computers &amp; Peripheral</t>
  </si>
  <si>
    <t xml:space="preserve">Freehold Lands </t>
  </si>
  <si>
    <t>Roads &amp; Bridges</t>
  </si>
  <si>
    <t>Other common expenditure to be apportioned to above heads.</t>
  </si>
  <si>
    <t xml:space="preserve">Total </t>
  </si>
  <si>
    <t>Yearly wt average of above rates.</t>
  </si>
  <si>
    <t>4.11</t>
  </si>
  <si>
    <t xml:space="preserve">Average </t>
  </si>
  <si>
    <t>COD unit 2</t>
  </si>
  <si>
    <t>Capital cost  as per truing up petition</t>
  </si>
  <si>
    <t>Capital cost as on COD of Unit 2</t>
  </si>
  <si>
    <t>Note : 1.Cost of 2 TMC and Rly siding was not included till 31.03.2018 as the works have not been completed.</t>
  </si>
  <si>
    <t>2 TMC</t>
  </si>
  <si>
    <t>Rly siding</t>
  </si>
  <si>
    <t>Capital expenditure as per 5B</t>
  </si>
  <si>
    <t>Difference with closing cap cost in  truing up</t>
  </si>
  <si>
    <t>Claim as on COD of U # 2 excluding liability and works not completed.</t>
  </si>
  <si>
    <t xml:space="preserve">Expenditure as on COD of unit 1 </t>
  </si>
  <si>
    <t xml:space="preserve">Expenditure as on COD of unit 2 </t>
  </si>
  <si>
    <t>PART-I</t>
  </si>
  <si>
    <t xml:space="preserve">Statement of Depreciation </t>
  </si>
  <si>
    <t>Financial Year</t>
  </si>
  <si>
    <t xml:space="preserve">Depreciation on Capital Cost </t>
  </si>
  <si>
    <t>Depreciation recovered during the Year</t>
  </si>
  <si>
    <t>FORM-13B</t>
  </si>
  <si>
    <t>FORM-13A</t>
  </si>
  <si>
    <t>FORM 16</t>
  </si>
  <si>
    <t>Add: Increase due to capital addition during the year / period and discharge of liability</t>
  </si>
  <si>
    <t>FORM- 14</t>
  </si>
  <si>
    <t>Appendix-II</t>
  </si>
  <si>
    <t>OF</t>
  </si>
  <si>
    <t xml:space="preserve">FOR </t>
  </si>
  <si>
    <t>Annual Fixed Charge</t>
  </si>
  <si>
    <t>Calculation of Operation and Maintenance Expenses</t>
  </si>
  <si>
    <t>(PETITIONER)</t>
  </si>
  <si>
    <t>Depreciation &amp; Additional Depreciation  during the year$$</t>
  </si>
  <si>
    <t>Cumulative Depreciation &amp; Additional Depreciation recovered upto the year</t>
  </si>
  <si>
    <t>Part I</t>
  </si>
  <si>
    <t>Abstract of Admitted Capital Cost for the existing Projects </t>
  </si>
  <si>
    <t>Capital Cost as admitted by TSERC</t>
  </si>
  <si>
    <t>Form- 5 (Modified)</t>
  </si>
  <si>
    <t>(Give  reference  of  the  relevant  TSERC  Order with  Petition No. &amp; Date)</t>
  </si>
  <si>
    <t>Total Capital cost admitted (Rs. Cr) as on 31.03.2019 in Crore</t>
  </si>
  <si>
    <t>FORM- 13</t>
  </si>
  <si>
    <t>Sl No.</t>
  </si>
  <si>
    <r>
      <rPr>
        <b/>
        <u/>
        <sz val="10"/>
        <rFont val="Tahoma"/>
        <family val="2"/>
      </rPr>
      <t>Checklist of Forms and other information/ documents for tariff filing</t>
    </r>
    <r>
      <rPr>
        <b/>
        <sz val="10"/>
        <rFont val="Tahoma"/>
        <family val="2"/>
      </rPr>
      <t xml:space="preserve"> </t>
    </r>
    <r>
      <rPr>
        <b/>
        <u/>
        <sz val="10"/>
        <rFont val="Tahoma"/>
        <family val="2"/>
      </rPr>
      <t>for Thermal Stations</t>
    </r>
  </si>
  <si>
    <t>Form No.</t>
  </si>
  <si>
    <t>Title of Tariff Filing Forms (Thermal)</t>
  </si>
  <si>
    <t>Tick</t>
  </si>
  <si>
    <t>√</t>
  </si>
  <si>
    <t>FORM-2</t>
  </si>
  <si>
    <t>Plant Characteristics</t>
  </si>
  <si>
    <t>FORM-3</t>
  </si>
  <si>
    <t>Normative parameters considered for tariff computations</t>
  </si>
  <si>
    <t>FORM- 4</t>
  </si>
  <si>
    <t>Details of Foreign  loans</t>
  </si>
  <si>
    <t>Not Applicable</t>
  </si>
  <si>
    <t>FORM-5</t>
  </si>
  <si>
    <t>Abstract  of  Admitted  Capital  Cost  for  the  existing Projects</t>
  </si>
  <si>
    <t>FORM-5A</t>
  </si>
  <si>
    <t>Abstract  of   Capital  Cost  Estimates and Schedule  of Commissioning for the New projects</t>
  </si>
  <si>
    <t>FORM-5B</t>
  </si>
  <si>
    <t>Break-up of Capital cost for Coal/Lignite based projects</t>
  </si>
  <si>
    <t>FORM-5C</t>
  </si>
  <si>
    <t>Break-up  of  Capital  Cost  for  Gas/Liquid  fuel  based Projects</t>
  </si>
  <si>
    <t>FORM-5D</t>
  </si>
  <si>
    <t>Break-up of Construction/Supply/Service packages</t>
  </si>
  <si>
    <t>FORM- 6</t>
  </si>
  <si>
    <t>Financial Package upto COD</t>
  </si>
  <si>
    <t>FORM- 7</t>
  </si>
  <si>
    <t>FORM- 8</t>
  </si>
  <si>
    <t>Details  of  Allocation   of   corporate  loans  to  various projects</t>
  </si>
  <si>
    <t>Statement of Depreciation</t>
  </si>
  <si>
    <t>FORM- 12</t>
  </si>
  <si>
    <t>Calculation of Weighted Average Rate of Interest on Actual Loans1</t>
  </si>
  <si>
    <t>Working Capital</t>
  </si>
  <si>
    <t>FORM- 15</t>
  </si>
  <si>
    <t>FORM-16</t>
  </si>
  <si>
    <t>CALCULATION  OF  OPERATION  AND  MAINTENANCE EXPENSES</t>
  </si>
  <si>
    <t>FORM-17</t>
  </si>
  <si>
    <t>DETAILS    OF    OPERATION    AND    MAINTENANCE EXPENSES</t>
  </si>
  <si>
    <t>FORM-18</t>
  </si>
  <si>
    <t>Details/Information  to  be  Submitted  in  respect  of Fuel for Computation of Energy Charges1</t>
  </si>
  <si>
    <t>Computation of interest rate including the benefit for loan restructuring</t>
  </si>
  <si>
    <t>Other Information/ Documents</t>
  </si>
  <si>
    <t>Information/Document</t>
  </si>
  <si>
    <t>Copies of relevant loan Agreements</t>
  </si>
  <si>
    <t>Copies  of  the  approval  of  Competent  Authority  for the Capital Cost  and Financial package.</t>
  </si>
  <si>
    <t>Copies  of  the  Equity  participation  agreements  and necessary approval for the foreign equity.</t>
  </si>
  <si>
    <t>Copies of the BPSA/PPA with the beneficiaries, if any</t>
  </si>
  <si>
    <t>Detailed  note  giving  reasons  of  time  and  cost  over run, if applicable.</t>
  </si>
  <si>
    <t>Any other relevant information, (Please specify)</t>
  </si>
  <si>
    <t>Note:  Electronic  copy  in  the  form  of  CD/Floppy  disc  shall also be furnished.</t>
  </si>
  <si>
    <t>Appendix-III</t>
  </si>
  <si>
    <t>Details of input capital cost</t>
  </si>
  <si>
    <t>Appendix-IV</t>
  </si>
  <si>
    <t>Financial Package as approved</t>
  </si>
  <si>
    <t>Financial Package as on COD</t>
  </si>
  <si>
    <t>As admitted on COD</t>
  </si>
  <si>
    <t>Equity</t>
  </si>
  <si>
    <t>Foreign</t>
  </si>
  <si>
    <t>Debt : Equity Ratio</t>
  </si>
  <si>
    <t>7884.68 Crore</t>
  </si>
  <si>
    <r>
      <t>Currency and amount</t>
    </r>
    <r>
      <rPr>
        <b/>
        <vertAlign val="superscript"/>
        <sz val="12"/>
        <color rgb="FF000000"/>
        <rFont val="Times New Roman"/>
        <family val="1"/>
      </rPr>
      <t>3</t>
    </r>
  </si>
  <si>
    <r>
      <rPr>
        <vertAlign val="superscript"/>
        <sz val="12"/>
        <color rgb="FF000000"/>
        <rFont val="Times New Roman"/>
        <family val="1"/>
      </rPr>
      <t xml:space="preserve">1 </t>
    </r>
    <r>
      <rPr>
        <sz val="12"/>
        <color rgb="FF000000"/>
        <rFont val="Times New Roman"/>
        <family val="1"/>
      </rPr>
      <t>Say US $ 200 m +Rs 400 Cr or Rs 1200 Cr including US $200m at an exchange rate of 1 US $ = Rs 40/-</t>
    </r>
  </si>
  <si>
    <r>
      <rPr>
        <vertAlign val="superscript"/>
        <sz val="12"/>
        <color rgb="FF000000"/>
        <rFont val="Times New Roman"/>
        <family val="1"/>
      </rPr>
      <t>2</t>
    </r>
    <r>
      <rPr>
        <sz val="12"/>
        <color rgb="FF000000"/>
        <rFont val="Times New Roman"/>
        <family val="1"/>
      </rPr>
      <t xml:space="preserve"> Date of commercial Operation means commercial operation of last unit</t>
    </r>
  </si>
  <si>
    <r>
      <rPr>
        <vertAlign val="superscript"/>
        <sz val="12"/>
        <color rgb="FF000000"/>
        <rFont val="Times New Roman"/>
        <family val="1"/>
      </rPr>
      <t>3</t>
    </r>
    <r>
      <rPr>
        <sz val="12"/>
        <color rgb="FF000000"/>
        <rFont val="Times New Roman"/>
        <family val="1"/>
      </rPr>
      <t xml:space="preserve"> For example : US $,200 M etc</t>
    </r>
  </si>
  <si>
    <t>Calculation of return on Equity</t>
  </si>
  <si>
    <t>Calculation of Return on Equity</t>
  </si>
  <si>
    <t>Statement of liability</t>
  </si>
  <si>
    <t>FORM- 13B</t>
  </si>
  <si>
    <t>(Rs. in Crores)</t>
  </si>
  <si>
    <t>AFC in Crore</t>
  </si>
  <si>
    <t>FC Rate (Rs/Kwh)</t>
  </si>
  <si>
    <t>1.  A detailed note giving reasons of time overrun is submitted in Serial 6 of text petition.</t>
  </si>
  <si>
    <t>ADDITION DUE TO ADD CAP @ 30 % OF ADD CAP AND DISCHARGE OF LIABILITY</t>
  </si>
  <si>
    <t>(Amount in Rs Crs)</t>
  </si>
  <si>
    <t>The Singareni Collieries Company Ltd</t>
  </si>
  <si>
    <t>Computation of U# 1 capital cost (as per methodology in order dated 19.06.2017)</t>
  </si>
  <si>
    <t>State :</t>
  </si>
  <si>
    <t>District :</t>
  </si>
  <si>
    <t>$$ Additional depreciation claimed for repayment of short duration loan (12Yrs)</t>
  </si>
  <si>
    <t>S.No.</t>
  </si>
  <si>
    <t>ECR = {(GHR – SFC x CVSF) x LPPF / CVPF+SFC x LPSFi } x 100 /(100 – AUX)</t>
  </si>
  <si>
    <t>1/3rd interest passed on to generating company.</t>
  </si>
  <si>
    <t>Capital cost  approved by TSERC</t>
  </si>
  <si>
    <t>Serial No</t>
  </si>
  <si>
    <t>Reconciliation of capital cost applied with certified capital cost</t>
  </si>
  <si>
    <t>Total after adj (Sl 3+Sl 4+Sl 5-Sl6)</t>
  </si>
  <si>
    <t>Liability Discharged</t>
  </si>
  <si>
    <t>Submitted in truing up</t>
  </si>
  <si>
    <t>Diffecrence</t>
  </si>
  <si>
    <t>FY 2019-20</t>
  </si>
  <si>
    <t>FY 2020-21</t>
  </si>
  <si>
    <t>FY 2021-22</t>
  </si>
  <si>
    <t>FY 2022-23</t>
  </si>
  <si>
    <t>FY 2023-24</t>
  </si>
  <si>
    <t>O &amp; M expenses</t>
  </si>
  <si>
    <t>Maintenance Spares</t>
  </si>
  <si>
    <t>Rate of Interest</t>
  </si>
  <si>
    <t>2019-20</t>
  </si>
  <si>
    <t>2020-21</t>
  </si>
  <si>
    <t>2021-22</t>
  </si>
  <si>
    <t>2022-23</t>
  </si>
  <si>
    <t>2023-24</t>
  </si>
  <si>
    <t>Name of the Company :</t>
  </si>
  <si>
    <t>Name of the Power Station :</t>
  </si>
  <si>
    <t>Name of the Petitioner :</t>
  </si>
  <si>
    <t>Name of the Generating Station :</t>
  </si>
  <si>
    <t>Actual capital cost as on 31.03.2020</t>
  </si>
  <si>
    <t>Actual capital cost as on 31.03.2021</t>
  </si>
  <si>
    <t>Actual capital cost as on 31.03.2022</t>
  </si>
  <si>
    <t>Actual capital cost as on 31.03.2023</t>
  </si>
  <si>
    <t>Amount Disbursed upto 31.03.2019</t>
  </si>
  <si>
    <t>Liability as on 31.03.2019</t>
  </si>
  <si>
    <t>Amount Disbursed upto 31.03.2020</t>
  </si>
  <si>
    <t>Liability as on 31.03.2020</t>
  </si>
  <si>
    <t>Amount Disbursed upto 31.03.2021</t>
  </si>
  <si>
    <t>Liability as on 31.03.2021</t>
  </si>
  <si>
    <t>Amount Disbursed upto 31.03.2022</t>
  </si>
  <si>
    <t>Liability as on 31.03.2022</t>
  </si>
  <si>
    <t>Amount Disbursed upto 31.03.2023</t>
  </si>
  <si>
    <t>Liability as on 31.03.2023</t>
  </si>
  <si>
    <t>Year Ending March</t>
  </si>
  <si>
    <t>Amount of Loan sanctioned</t>
  </si>
  <si>
    <t>Fixed Interest Rate, if applicable</t>
  </si>
  <si>
    <t>If above is yes,specify caps/floor</t>
  </si>
  <si>
    <t>Moratorium effective from</t>
  </si>
  <si>
    <t>Repayment effective from</t>
  </si>
  <si>
    <t>Name of the Company :              The Singareni Collieries Company Limited</t>
  </si>
  <si>
    <t>Name of the Power Station :     Singareni Thermal Power Project</t>
  </si>
  <si>
    <t>Name of the Petitioner:</t>
  </si>
  <si>
    <t>Name of the Generating Station:</t>
  </si>
  <si>
    <t>02/12/2016 to 
31/3/2017</t>
  </si>
  <si>
    <t>Singareni Thermal power Project</t>
  </si>
  <si>
    <t>Certificate of incorporation, Certificate  for Commencment of Business, Memorandum of Association, &amp;  Articles of Association ( For New Station setup by a company making tariff application for the first time to CERC)</t>
  </si>
  <si>
    <t>Stationwise and Corporate audited  Balance  Sheet and Profit &amp; Loss Accounts with all the Schedules &amp; annexures on COD of the Station for the new station
&amp;  for the relevant years.</t>
  </si>
  <si>
    <t>Repairs and Maintenance Expense (R&amp;M)</t>
  </si>
  <si>
    <t>Opening Gross Fixed Asset (GFA)</t>
  </si>
  <si>
    <t>FY 2020-21
(n = 2)</t>
  </si>
  <si>
    <t>FY 2019-20
( n = 1)</t>
  </si>
  <si>
    <t>FY 2021-22
(n = 3)</t>
  </si>
  <si>
    <t>FY 2022-23
(n = 4)</t>
  </si>
  <si>
    <t>FY 2023-24
(n = 5)</t>
  </si>
  <si>
    <t>WPI inflation (Base Year 2011-12)</t>
  </si>
  <si>
    <t>WPI inflation in %</t>
  </si>
  <si>
    <t>Average WPI%</t>
  </si>
  <si>
    <t>Employee Cost</t>
  </si>
  <si>
    <t>Normative O&amp;M</t>
  </si>
  <si>
    <t>Savings in O&amp;M</t>
  </si>
  <si>
    <t>CPI inflation in %</t>
  </si>
  <si>
    <t>EMPn</t>
  </si>
  <si>
    <t xml:space="preserve"> C .Estimation of Administrative &amp; General Expense ( A&amp;Gn)  [ Regulation 19.4 ]</t>
  </si>
  <si>
    <t>A&amp;G Expense</t>
  </si>
  <si>
    <t>Inflation factor</t>
  </si>
  <si>
    <t>Summary of O&amp;M Expenditure</t>
  </si>
  <si>
    <t>R&amp;Mn</t>
  </si>
  <si>
    <t>A&amp;Gn</t>
  </si>
  <si>
    <t>O&amp;Mn  [( R&amp;Mn +EMPn +A&amp;Gn)*99%]</t>
  </si>
  <si>
    <t>Minus</t>
  </si>
  <si>
    <t>Payable for one month's oil cost</t>
  </si>
  <si>
    <t>Payable for one month's coal cost</t>
  </si>
  <si>
    <t>Cost of Coal/Lignite for working capital</t>
  </si>
  <si>
    <t>Cost of Secondary Fuel Oil for working capital</t>
  </si>
  <si>
    <t>O &amp; M Expenses  for working capital</t>
  </si>
  <si>
    <t>Maintenance Spares for working capital</t>
  </si>
  <si>
    <t>as per regulation 21.4</t>
  </si>
  <si>
    <t>INR Crs</t>
  </si>
  <si>
    <t>kCal/kWh</t>
  </si>
  <si>
    <t>in Months</t>
  </si>
  <si>
    <t>Paise / kWh</t>
  </si>
  <si>
    <t>gms/Kwh</t>
  </si>
  <si>
    <t>Limestone consumption norm ( for SOx control) -wet limestone type.</t>
  </si>
  <si>
    <t>Cost of limestone for working capital</t>
  </si>
  <si>
    <t>Not specified,hence considered as per draft CERC reg</t>
  </si>
  <si>
    <t xml:space="preserve">Return on Equity </t>
  </si>
  <si>
    <t>^^ As per proposed Capital Investment Plan (CIP) for 2019-24 submitted before this Hon'ble commission.</t>
  </si>
  <si>
    <t>SL NO</t>
  </si>
  <si>
    <t>DESCRIPTION</t>
  </si>
  <si>
    <t>FLUE GAS DE-SULPHURISATION SYSTEM (FGD)</t>
  </si>
  <si>
    <t>IN-FURNACE MODIFICATIONS FOR NOX MITIGATION</t>
  </si>
  <si>
    <t>OPERATION &amp; MAINTENANCE MODULES</t>
  </si>
  <si>
    <t>RAILWAY WORKS</t>
  </si>
  <si>
    <t>MAIN PLANT CIVIL WORKS</t>
  </si>
  <si>
    <t>TOWNSHIP CIVIL WORKS</t>
  </si>
  <si>
    <t>Watch towers and road along boundary wall</t>
  </si>
  <si>
    <t>Parking shed at CISF time office</t>
  </si>
  <si>
    <t>Construction of creche and rest hall</t>
  </si>
  <si>
    <t xml:space="preserve">Construction of shed for lube oil barrels, RCC pit for hazardous waste </t>
  </si>
  <si>
    <t>Ash trucks parking yards at ash weighbridge near main gate</t>
  </si>
  <si>
    <t>CC flooring around HCSD silo area</t>
  </si>
  <si>
    <t>Widening of CC platforms and roads around IDCT</t>
  </si>
  <si>
    <t>CC Roads around Stacker Reclaimer</t>
  </si>
  <si>
    <t>Paving with chequered tiles under pipe &amp; cable rack areas and below coal gantries</t>
  </si>
  <si>
    <t>RCC drain along fly ash transport road</t>
  </si>
  <si>
    <t>Extension of BOP &amp; BTG drains up to peripheral compound wall</t>
  </si>
  <si>
    <t>Chambers and dewatering pumps in main plant area</t>
  </si>
  <si>
    <t>Sewage pits (pumps) / pipe line from BTG area to STP</t>
  </si>
  <si>
    <t>Metal road on reservoir bund</t>
  </si>
  <si>
    <t>B.T. over inspection road along periphery compound wall from Ash dyke to Rly bridge across Rasulpalli vagu ( 3.60 KM) and B.T. road over reservoir</t>
  </si>
  <si>
    <t>Making approaches to plantation at various locations</t>
  </si>
  <si>
    <t>Bridge over diverted nala near CISF time office</t>
  </si>
  <si>
    <t xml:space="preserve">Work stations , furniture's and portico in Administration building and service building. </t>
  </si>
  <si>
    <t>Construction of public buildings like shopping complex, sports complex and other necessary infrastructures.</t>
  </si>
  <si>
    <t>Township Development works like construction of roads, drains &amp; water supply in township, providing electric overhead lines,  providing fencing around parks, providing protected parking for vehicles and creating club infrastructure.</t>
  </si>
  <si>
    <t xml:space="preserve">Electrification and furniture for CISF. </t>
  </si>
  <si>
    <t>Parade ground, Stage and roads for CISF</t>
  </si>
  <si>
    <t>Modification to open shed at Guest house into AC Hall</t>
  </si>
  <si>
    <t>Connection of sanitary system of Township to STP</t>
  </si>
  <si>
    <t xml:space="preserve">Rain harvesting structures </t>
  </si>
  <si>
    <t xml:space="preserve">TOTAL OF MAIN PLANT CIVIL WORKS </t>
  </si>
  <si>
    <t>CAPITAL INVESTMENT PLAN FOR FY 2019-24 SEGREGATED IN ASSET CLASSES</t>
  </si>
  <si>
    <t>A</t>
  </si>
  <si>
    <t>B</t>
  </si>
  <si>
    <t>C</t>
  </si>
  <si>
    <t>D</t>
  </si>
  <si>
    <t>E</t>
  </si>
  <si>
    <t>F</t>
  </si>
  <si>
    <t>G</t>
  </si>
  <si>
    <t>H</t>
  </si>
  <si>
    <t>I</t>
  </si>
  <si>
    <t>J</t>
  </si>
  <si>
    <t>K</t>
  </si>
  <si>
    <t>L</t>
  </si>
  <si>
    <t>M</t>
  </si>
  <si>
    <t>O</t>
  </si>
  <si>
    <t>P</t>
  </si>
  <si>
    <t>Q</t>
  </si>
  <si>
    <t>R</t>
  </si>
  <si>
    <t>TOTAL OF TOWNSHIP CIVIL WORKS</t>
  </si>
  <si>
    <t>Grand Total</t>
  </si>
  <si>
    <t>Depreciation from 01.04.2019 to 31.03.2020</t>
  </si>
  <si>
    <t>Depreciation from 01.04.2020 to 31.03.2021</t>
  </si>
  <si>
    <t>Depreciation from 01.04.2021 to 31.03.2022</t>
  </si>
  <si>
    <t>The depreciation is computed as per depreciation schedule given in  CERC regulation.</t>
  </si>
  <si>
    <t>(MT)</t>
  </si>
  <si>
    <t>Cost of Secondary Fuel Oil for two months.</t>
  </si>
  <si>
    <t>EC Rate (Rs/Kwh)</t>
  </si>
  <si>
    <t>Total (Rs/Kwh)</t>
  </si>
  <si>
    <t>UNIT</t>
  </si>
  <si>
    <t>DERIVATION</t>
  </si>
  <si>
    <t>Ensuing Year</t>
  </si>
  <si>
    <t>Four</t>
  </si>
  <si>
    <t>Three</t>
  </si>
  <si>
    <t>Two</t>
  </si>
  <si>
    <t>One</t>
  </si>
  <si>
    <t>Five</t>
  </si>
  <si>
    <t>Gross Generation</t>
  </si>
  <si>
    <t>Sent-out Energy</t>
  </si>
  <si>
    <t>3=1-2</t>
  </si>
  <si>
    <t>Notes:</t>
  </si>
  <si>
    <t>Applicant</t>
  </si>
  <si>
    <t>COST OF FUEL FOR STPP</t>
  </si>
  <si>
    <t>Incentive</t>
  </si>
  <si>
    <t>Interest on Working Capital for FGD</t>
  </si>
  <si>
    <t>Coal and oil cost for generation</t>
  </si>
  <si>
    <t>Reagent cost for FGD system</t>
  </si>
  <si>
    <t xml:space="preserve">Less non tariff income from </t>
  </si>
  <si>
    <t>Net Income from sale of scrap</t>
  </si>
  <si>
    <t>Income from statutory investments</t>
  </si>
  <si>
    <t>Interest on advances to suppliers/contractors</t>
  </si>
  <si>
    <t>Rental from staff quarters</t>
  </si>
  <si>
    <t>Rental from contractors</t>
  </si>
  <si>
    <t>Income from investment of consumer security deposit</t>
  </si>
  <si>
    <t>Income from hire charges from contactors and others, etc.</t>
  </si>
  <si>
    <t>Other income</t>
  </si>
  <si>
    <t>Electricity from Employees &amp; Contractors</t>
  </si>
  <si>
    <t>Rs Lakh</t>
  </si>
  <si>
    <t>FGD capital cost</t>
  </si>
  <si>
    <t>O&amp;M for FGD (2%  of  FGD capital cost)</t>
  </si>
  <si>
    <t>Rs Crores</t>
  </si>
  <si>
    <t>O&amp;M for NOx (2%  of  capital cost for NOx  mitigation )</t>
  </si>
  <si>
    <t>FGD system</t>
  </si>
  <si>
    <t>Lime stone Cost in Rs/Ton</t>
  </si>
  <si>
    <t>Limestone consumption at 85% PLF for both the units in Ton/Hr</t>
  </si>
  <si>
    <t>No of Hrs in operation</t>
  </si>
  <si>
    <t>O&amp;M cost</t>
  </si>
  <si>
    <t>Reagent cost</t>
  </si>
  <si>
    <t>Yearly Cost of Lime stone</t>
  </si>
  <si>
    <t>Cost of limestone for 30 Days</t>
  </si>
  <si>
    <t>Maint spares@ 20% of O&amp;M expenses</t>
  </si>
  <si>
    <t>One month's O&amp;M</t>
  </si>
  <si>
    <t>Rate of Interest (%)</t>
  </si>
  <si>
    <t>Int on working Capital</t>
  </si>
  <si>
    <t>Nox mitigation system</t>
  </si>
  <si>
    <t>Variable Charges</t>
  </si>
  <si>
    <t>Other Charges</t>
  </si>
  <si>
    <t>Net Ex bus generation ( MU)</t>
  </si>
  <si>
    <t>Energy charge Rate</t>
  </si>
  <si>
    <t>Rs/Kwh</t>
  </si>
  <si>
    <t xml:space="preserve">Cost of Fuel </t>
  </si>
  <si>
    <t>5 = 3 x 4</t>
  </si>
  <si>
    <t>In Crore</t>
  </si>
  <si>
    <t>Sent Out Units</t>
  </si>
  <si>
    <t>Target PLF</t>
  </si>
  <si>
    <t xml:space="preserve">Incentive Rate for additional generation
</t>
  </si>
  <si>
    <t>Incentive for additional generation</t>
  </si>
  <si>
    <t xml:space="preserve">Units to be sent out at target PLF </t>
  </si>
  <si>
    <t>Additional Generation</t>
  </si>
  <si>
    <t>Rs Crs</t>
  </si>
  <si>
    <t>Return on Equity</t>
  </si>
  <si>
    <t>Sub Total (Annual Fixed Charges)</t>
  </si>
  <si>
    <t>Sub Total (Variable Charges)</t>
  </si>
  <si>
    <t>Total gross annual revenue requirement (A+B+C+D)</t>
  </si>
  <si>
    <t>Coal price</t>
  </si>
  <si>
    <t>GCV of coal</t>
  </si>
  <si>
    <t>Coal price/GCV</t>
  </si>
  <si>
    <t>Serial NO</t>
  </si>
  <si>
    <t>Monthly increase of Coal price /GCV</t>
  </si>
  <si>
    <t>Monthly average</t>
  </si>
  <si>
    <t>Yearly increase</t>
  </si>
  <si>
    <t xml:space="preserve">Increase in coal price </t>
  </si>
  <si>
    <t>Increase in oil price</t>
  </si>
  <si>
    <t>Sub Total (Other Charges)</t>
  </si>
  <si>
    <t>Average cost of electricity in Rs/Kwh (G / H )</t>
  </si>
  <si>
    <t>ANNEXURE-</t>
  </si>
  <si>
    <t>Additional  Revenue Requirement for FGD and Nox mitigation system</t>
  </si>
  <si>
    <t>Summary of different component of fixed and energy charges</t>
  </si>
  <si>
    <t>TARIFF  COMPUTATION</t>
  </si>
  <si>
    <t>Net Working Capital</t>
  </si>
  <si>
    <t xml:space="preserve"> Energy Charge</t>
  </si>
  <si>
    <t>Aggregate revenue requirement to be recovered from tariff (E-F)</t>
  </si>
  <si>
    <t>Please note : 
A.Terminal liabilities such as death cum retirement gratuity,pension ,commuted pension ,leave encashment ,LTC,medical reimbursement in respect of pensioners will be submitted during mid-term review and end of control period review.
B.License fee ,Audit fee water cess , water charges  and other statutory charges will be submitted during truing up.</t>
  </si>
  <si>
    <t>Two wagon tippler with line laying and consultancy service.</t>
  </si>
  <si>
    <t>Sl.no</t>
  </si>
  <si>
    <t>Auxilliary consumption</t>
  </si>
  <si>
    <t>WPI</t>
  </si>
  <si>
    <t>Uncontrollable expenditure</t>
  </si>
  <si>
    <t>Capital spares</t>
  </si>
  <si>
    <t>Refinancing charges</t>
  </si>
  <si>
    <t>CPI</t>
  </si>
  <si>
    <t>FY 20-21</t>
  </si>
  <si>
    <t>19-20</t>
  </si>
  <si>
    <t>21-22</t>
  </si>
  <si>
    <t>Loan-4(SBI)</t>
  </si>
  <si>
    <t>Loan-5 (ICICI)</t>
  </si>
  <si>
    <t>20-21</t>
  </si>
  <si>
    <t>22-23</t>
  </si>
  <si>
    <t>23-24</t>
  </si>
  <si>
    <t>Savings of interest amount</t>
  </si>
  <si>
    <t>1/3rd Savings of interest amount passed on to generating company.</t>
  </si>
  <si>
    <t>Add: Drawl(s) during the year</t>
  </si>
  <si>
    <t>2/3rd interest passed on to beneficiaries company.</t>
  </si>
  <si>
    <t>2/3rd Savings of interest amount passed on to beneficiaries company.</t>
  </si>
  <si>
    <t xml:space="preserve">Not applicable before Loan swapping </t>
  </si>
  <si>
    <t xml:space="preserve">Interest on Working Capital </t>
  </si>
  <si>
    <t xml:space="preserve">O &amp; M Expenses </t>
  </si>
  <si>
    <t>c</t>
  </si>
  <si>
    <t>s</t>
  </si>
  <si>
    <t>FORM-15 : Details of Coal for Computation of Energy Charges</t>
  </si>
  <si>
    <t>Name of the Petitioner: The Singareni Collieries Company Limited</t>
  </si>
  <si>
    <t>Name of the Generating Station: Singareni Thermal Power Plant (2x600 MW)</t>
  </si>
  <si>
    <t>S. No.</t>
  </si>
  <si>
    <t>A)</t>
  </si>
  <si>
    <t>OPENING QUANTITY</t>
  </si>
  <si>
    <t>Opening Quantity of Coal</t>
  </si>
  <si>
    <t>Value of Stock</t>
  </si>
  <si>
    <t>B)</t>
  </si>
  <si>
    <t>QUANTITY</t>
  </si>
  <si>
    <t>Quantity of Coal supplied by Coal Company</t>
  </si>
  <si>
    <t>Adjustment (+/-) in quantity supplied made by Coal Company</t>
  </si>
  <si>
    <t>Coal supplied by Coal Company (3+4)</t>
  </si>
  <si>
    <t>Normative Transit &amp; Handling Losses (For Coal based Projects)</t>
  </si>
  <si>
    <t>Net Coal supplied (5-6)</t>
  </si>
  <si>
    <t>C)</t>
  </si>
  <si>
    <t>PRICE</t>
  </si>
  <si>
    <t>Amount charged by the Coal Company</t>
  </si>
  <si>
    <t>Adjustment (+/-) in amount charged made by Coal Company</t>
  </si>
  <si>
    <t>Handling, Sampling and such other similar charges</t>
  </si>
  <si>
    <t>Total amount Charged (8+9+10)</t>
  </si>
  <si>
    <t>D)</t>
  </si>
  <si>
    <t>TRANSPORTATION</t>
  </si>
  <si>
    <t>By Rail</t>
  </si>
  <si>
    <t>By Road</t>
  </si>
  <si>
    <t>Cost of diesel in transporting Coal through MGR system, if applicable</t>
  </si>
  <si>
    <t>Total Transportation Charges (12+13-14+15)</t>
  </si>
  <si>
    <t>Total amount Charged for Coal supplied including Transportation (11+16)</t>
  </si>
  <si>
    <t>E)</t>
  </si>
  <si>
    <t>TOTAL COST</t>
  </si>
  <si>
    <t>Landed cost of Coal (2+17)/(1+7)</t>
  </si>
  <si>
    <t>100:0</t>
  </si>
  <si>
    <t>Weighted average cost of Coal for preceeding three months</t>
  </si>
  <si>
    <t>F)</t>
  </si>
  <si>
    <t>QUALITY</t>
  </si>
  <si>
    <t>GCV of Domestic Coal of the opening coal stock as per bill of Coal Company</t>
  </si>
  <si>
    <t>(kCal/kg)</t>
  </si>
  <si>
    <t>GCV of Domestic Coal supplied as per bill of Coal Company</t>
  </si>
  <si>
    <t>GCV of Imported Coal of the opening stock as per bill Coal Company</t>
  </si>
  <si>
    <t>GCV of Imported Coal supplied as per the bill Coal Company</t>
  </si>
  <si>
    <t>Weighted average GCV of Coal as Billed</t>
  </si>
  <si>
    <t>GCV of Domestic Coal of the opening stock as received at Station</t>
  </si>
  <si>
    <t>GCV of Domestic Coal supplied as received at Station</t>
  </si>
  <si>
    <t>GCV of Imported Coal of opening stock as received at Station</t>
  </si>
  <si>
    <t>GCV of Imported Coal supplied as received at Station</t>
  </si>
  <si>
    <t>Weighted average GCV of Coal as Received</t>
  </si>
  <si>
    <t xml:space="preserve"> Weighted average GCV of Coal as Fired for the month*</t>
  </si>
  <si>
    <t>Coal Consumption for the month</t>
  </si>
  <si>
    <t>MT</t>
  </si>
  <si>
    <t>* As fired GCV is provided in line with Para 6.10.7 of Tariff order dated 28.08.2020</t>
  </si>
  <si>
    <t>FORM-15 : Details of Secondary Fuel for Computation of Energy Charges</t>
  </si>
  <si>
    <t>Opening Stock of Oil</t>
  </si>
  <si>
    <t>Value of Opening Stock</t>
  </si>
  <si>
    <t>Adjustment (+/-) in quantity supplied made by Oil Company</t>
  </si>
  <si>
    <t>Oil supplied by Oil Company (3+4)</t>
  </si>
  <si>
    <t xml:space="preserve">Normative Transit &amp; Handling Losses </t>
  </si>
  <si>
    <t>Net Oil supplied (5-6)</t>
  </si>
  <si>
    <t>By Ship</t>
  </si>
  <si>
    <t>.......</t>
  </si>
  <si>
    <t>Total amount Charged for Oil supplied including Transportation (11+16)</t>
  </si>
  <si>
    <t>Landed cost of Oil (2+17)/(1+7)</t>
  </si>
  <si>
    <t>GCV of Oil of the opening stock as per Oil Company</t>
  </si>
  <si>
    <t>(kCal/L)</t>
  </si>
  <si>
    <t>GCV of Dom. Oil of the opening Oil stock as per bill</t>
  </si>
  <si>
    <t>GCV of Imp. Oil of the opening stock as per bill Oil Co.</t>
  </si>
  <si>
    <t>GCV of Imp. Oil supplied as per bill Oil Co.</t>
  </si>
  <si>
    <t>GCV of Dom. Oil of the opening stock as received at station</t>
  </si>
  <si>
    <t>GCV of Dom. Oil supplied as received at station</t>
  </si>
  <si>
    <t>GCV of Imp. Oil of the opening stock as received at station</t>
  </si>
  <si>
    <t>GCV of Imp. Oil supplied as received at station</t>
  </si>
  <si>
    <t>Weighted average GCV of Oil as fired for the month</t>
  </si>
  <si>
    <t>Oil consumption</t>
  </si>
  <si>
    <t>KL</t>
  </si>
  <si>
    <t>Details of information to be submitted in respect of fuel consumped for Energy Charges</t>
  </si>
  <si>
    <t>sl</t>
  </si>
  <si>
    <t>Landed cost of Oil at sl.no 18</t>
  </si>
  <si>
    <t>Consumption quantity for the month</t>
  </si>
  <si>
    <t>Weighted Average Rate*</t>
  </si>
  <si>
    <t>Weighted Average GCV of Oil*</t>
  </si>
  <si>
    <t>* In case of no Oil consumption in a month , previous month's price and GCV data is used.</t>
  </si>
  <si>
    <t>Oil Price</t>
  </si>
  <si>
    <t>Monthly increase of Oil price</t>
  </si>
  <si>
    <t xml:space="preserve">As allowed for STPP </t>
  </si>
  <si>
    <t xml:space="preserve">Name of the Petitioner
</t>
  </si>
  <si>
    <t>Name of the Generating Station COD</t>
  </si>
  <si>
    <t>For Financial Year</t>
  </si>
  <si>
    <t>(Amount Rs. In Cr)</t>
  </si>
  <si>
    <r>
      <rPr>
        <b/>
        <sz val="11"/>
        <rFont val="Cambria"/>
        <family val="1"/>
      </rPr>
      <t>S. No.</t>
    </r>
  </si>
  <si>
    <r>
      <rPr>
        <b/>
        <sz val="11"/>
        <rFont val="Cambria"/>
        <family val="1"/>
      </rPr>
      <t>Head of Work / Equipment</t>
    </r>
  </si>
  <si>
    <r>
      <rPr>
        <b/>
        <sz val="11"/>
        <rFont val="Cambria"/>
        <family val="1"/>
      </rPr>
      <t>ACE Claimed (Actual / Projected)</t>
    </r>
  </si>
  <si>
    <r>
      <rPr>
        <b/>
        <sz val="11"/>
        <rFont val="Cambria"/>
        <family val="1"/>
      </rPr>
      <t>Regulations under which claimed</t>
    </r>
  </si>
  <si>
    <r>
      <rPr>
        <b/>
        <sz val="11"/>
        <rFont val="Cambria"/>
        <family val="1"/>
      </rPr>
      <t>Justification</t>
    </r>
  </si>
  <si>
    <r>
      <rPr>
        <b/>
        <sz val="11"/>
        <rFont val="Cambria"/>
        <family val="1"/>
      </rPr>
      <t xml:space="preserve">Admitted Cost by the
</t>
    </r>
    <r>
      <rPr>
        <b/>
        <sz val="11"/>
        <rFont val="Cambria"/>
        <family val="1"/>
      </rPr>
      <t>Commission, if any</t>
    </r>
  </si>
  <si>
    <r>
      <rPr>
        <b/>
        <sz val="11"/>
        <rFont val="Cambria"/>
        <family val="1"/>
      </rPr>
      <t>Accrual basis</t>
    </r>
  </si>
  <si>
    <r>
      <rPr>
        <b/>
        <sz val="11"/>
        <rFont val="Cambria"/>
        <family val="1"/>
      </rPr>
      <t>Un-discharged Liability included in column 3</t>
    </r>
  </si>
  <si>
    <r>
      <rPr>
        <b/>
        <sz val="11"/>
        <rFont val="Cambria"/>
        <family val="1"/>
      </rPr>
      <t>Cash basis</t>
    </r>
  </si>
  <si>
    <r>
      <rPr>
        <b/>
        <sz val="11"/>
        <rFont val="Cambria"/>
        <family val="1"/>
      </rPr>
      <t>IDC included in col. 3</t>
    </r>
  </si>
  <si>
    <r>
      <rPr>
        <b/>
        <sz val="12"/>
        <rFont val="Cambria"/>
        <family val="1"/>
      </rPr>
      <t>(5 = 3 - 4)</t>
    </r>
  </si>
  <si>
    <t>BTG Package</t>
  </si>
  <si>
    <t xml:space="preserve">BOP Package </t>
  </si>
  <si>
    <t>Survey &amp; Soil Investigation</t>
  </si>
  <si>
    <t>Coal transport roads</t>
  </si>
  <si>
    <t>Gate complex Security etc</t>
  </si>
  <si>
    <t>Township &amp; GH</t>
  </si>
  <si>
    <t>Mandatory capital expenditure under MoEF clearance</t>
  </si>
  <si>
    <t>Establishment costs</t>
  </si>
  <si>
    <t>Consultancy &amp; Engg</t>
  </si>
  <si>
    <t>O&amp;M-Expenditure upto COD</t>
  </si>
  <si>
    <t>1.   In case the project has been completed and cost has already been admitted under any tariff notification(s) in the past, fill column 9 giving the cost as admitted for the purpose of tariff notification already issued by (Name of the authority) (Enclose copy of the Tariff Order).
2.   The above information needs to be furnished separately for each year / period of tariff period 2019-24.
3.   In case of de-capitalisation of assets separate details to be furnished at column 1, 2, 3 and 4. Further, the original book value and year of capitalisation of such asset to be furnished at column 8. Where de-caps are on estimated basis the same to be shown separately.
4.   Where any asset is rendered unserviceable the same shall be treated as de-capitalised during that year and original value of such asset to be shown at col. 3. and impaired value if any, year of its capitalisation to be mentioned at column 8.
5.   Justification against each asset of capitalization should be specific to regulations under which claim has been made and the necessity of capitalization of that particular asset.</t>
  </si>
  <si>
    <t>SBI</t>
  </si>
  <si>
    <t>ICICI</t>
  </si>
  <si>
    <t>Floating</t>
  </si>
  <si>
    <t>1 Year MCLR</t>
  </si>
  <si>
    <t>3.36% (Upto 17.05.2022)
2.36% (From 18.05.2022)</t>
  </si>
  <si>
    <t>9 Years</t>
  </si>
  <si>
    <t>82.92 (15.10.2020-15.01.2029)
72.35 (15.04.2029)</t>
  </si>
  <si>
    <t>Total O&amp;M allowed</t>
  </si>
  <si>
    <t>April</t>
  </si>
  <si>
    <t>July</t>
  </si>
  <si>
    <t>Loan resturcing</t>
  </si>
  <si>
    <t>Loan refinancing benefit proposed to pass on to TSDISCOM's</t>
  </si>
  <si>
    <t>Refinancing charges proposed to be paid by TSDISCOM's</t>
  </si>
  <si>
    <t>Provision</t>
  </si>
  <si>
    <t>Restructuring benefit for FY 2022-23 &amp; 2023-24 shall be fianalised in End of control period review.</t>
  </si>
  <si>
    <t>Total Loan refianancing impact</t>
  </si>
  <si>
    <t>Uncontrollable</t>
  </si>
  <si>
    <t>Controllable</t>
  </si>
  <si>
    <t>ECR benefit sharing</t>
  </si>
  <si>
    <t xml:space="preserve">Clause </t>
  </si>
  <si>
    <t>projected norms are as per TSERC</t>
  </si>
  <si>
    <t>Total computed O&amp;M</t>
  </si>
  <si>
    <t xml:space="preserve">Mills annual overhauling </t>
  </si>
  <si>
    <t>Controllable/ Uncontrollable</t>
  </si>
  <si>
    <t>6.7.3</t>
  </si>
  <si>
    <t>ECR variation</t>
  </si>
  <si>
    <t xml:space="preserve">ECR benefit sharing </t>
  </si>
  <si>
    <t xml:space="preserve">1.Variation in AFC </t>
  </si>
  <si>
    <t>Increase in Add cap</t>
  </si>
  <si>
    <t>7.19.4</t>
  </si>
  <si>
    <t>7.19.4,11.3 &amp; 11.4</t>
  </si>
  <si>
    <t>6.7.4</t>
  </si>
  <si>
    <t>6.6.6</t>
  </si>
  <si>
    <t>3. Loan Refinancing impact</t>
  </si>
  <si>
    <t>Remarks</t>
  </si>
  <si>
    <t>Due to efficient running of plant</t>
  </si>
  <si>
    <t>Less:NTI</t>
  </si>
  <si>
    <t>Less: NTI</t>
  </si>
  <si>
    <t>Total Claim</t>
  </si>
  <si>
    <t>3.12.5 &amp; 26.4</t>
  </si>
  <si>
    <t>Net Ex bus generation (MU)</t>
  </si>
  <si>
    <t xml:space="preserve">Average cost of electricity in Rs/Kwh </t>
  </si>
  <si>
    <t>Loan refinancing impact</t>
  </si>
  <si>
    <t>Insurance income</t>
  </si>
  <si>
    <t>Sale proceeds of other materials</t>
  </si>
  <si>
    <t>Late Delivery  penalty  recovered from Suppliers</t>
  </si>
  <si>
    <t xml:space="preserve">Loan refinancing </t>
  </si>
  <si>
    <t>Loan Refinance</t>
  </si>
  <si>
    <t>Rate of Energy Charge from Primary Fuel (REC)</t>
  </si>
  <si>
    <t>Rate of Energy Charge ex-bus(REC)</t>
  </si>
  <si>
    <t>Energy Charges</t>
  </si>
  <si>
    <t>TSERC Regulation Clause</t>
  </si>
  <si>
    <t>Increase in actual applicable Tax rates and increase in add cap</t>
  </si>
  <si>
    <t>Prayed for relaxation of clause 6.7.5 and to include O&amp;M expenses as uncontrollable in accordance with the regulation and Increased due to variation in WPI,CPI</t>
  </si>
  <si>
    <t xml:space="preserve">Refinancing of loan resulted in net savings of interest </t>
  </si>
  <si>
    <t>Total Loan refinancing impact</t>
  </si>
  <si>
    <t>Loan restructuring</t>
  </si>
  <si>
    <t>Before swapping 197 days (01.04.2020 to 14.10.2020)</t>
  </si>
  <si>
    <t>After swapping 168 days (15.10.2020 to 31.03.2021)</t>
  </si>
  <si>
    <t>3 Month T-Bill</t>
  </si>
  <si>
    <t>Total Equity</t>
  </si>
  <si>
    <t>1.The Capital cost was allowed after deducting undischarged liability of 119.22 Crore which is now discharged and claimed in this petition.</t>
  </si>
  <si>
    <t>2.Hon'ble commission in  para 5.4.17,Page 84 of STPP's MYT tariff order recorded  that SCCL submitted details of spill over of ongoing works as per clause 3.10.2 but has not considered add cap for that in tariff computation.Since the figures of spill over work till FY 22 is now finalised ,SCCL now claims the portion of spill over expenditure in present petition.</t>
  </si>
  <si>
    <t>Actual/estimated WPI (nth power of sum of one and Average WPI % in preceding control period)</t>
  </si>
  <si>
    <t>Actual/Estimated  CPI (Change from previous year)</t>
  </si>
  <si>
    <t xml:space="preserve">Actual/Estimated inflation factor </t>
  </si>
  <si>
    <t xml:space="preserve">Provision </t>
  </si>
  <si>
    <t>Safety and security expenditure (CISF) being additional expendtiure for saftey and security incurred over and above CISF expenditure included in the base expenditure</t>
  </si>
  <si>
    <t>Balance reduction due to efficient O&amp;M measures</t>
  </si>
  <si>
    <t>Total actual O&amp;M*</t>
  </si>
  <si>
    <t>* The O&amp;M figures during FY 2022-23 &amp; 2023-24 are estimated figures which shall be finalised during end of period truing up.</t>
  </si>
  <si>
    <t>Receivables</t>
  </si>
  <si>
    <t>Add cap during 2018-19</t>
  </si>
  <si>
    <t>Add cap during 2019-20</t>
  </si>
  <si>
    <t>Add cap during 2020-21</t>
  </si>
  <si>
    <t>Add cap during 2021-22</t>
  </si>
  <si>
    <t>A. ECR &amp; cost of fuel calculation based on normative parameters</t>
  </si>
  <si>
    <t>B. ECR &amp; cost of fuel calculation based on actual parameters</t>
  </si>
  <si>
    <t>Cost of Fuel (+) Gain/ (-)Loss</t>
  </si>
  <si>
    <t>Sharing *</t>
  </si>
  <si>
    <t>2022-23**</t>
  </si>
  <si>
    <t>Average</t>
  </si>
  <si>
    <t>No of days</t>
  </si>
  <si>
    <t>SBI MCLR rate</t>
  </si>
  <si>
    <t>1 year weighted average MCLR declared by SBI+1.5%</t>
  </si>
  <si>
    <t>March</t>
  </si>
  <si>
    <t>April-May</t>
  </si>
  <si>
    <t>May-June</t>
  </si>
  <si>
    <t>June-July</t>
  </si>
  <si>
    <t>July-August</t>
  </si>
  <si>
    <t>August-September</t>
  </si>
  <si>
    <t>September-October</t>
  </si>
  <si>
    <t>October-November</t>
  </si>
  <si>
    <t>November-December</t>
  </si>
  <si>
    <t>December-January</t>
  </si>
  <si>
    <t>January-February</t>
  </si>
  <si>
    <t>February-March</t>
  </si>
  <si>
    <t>Water charges</t>
  </si>
  <si>
    <t>Tariff Filling fee</t>
  </si>
  <si>
    <t>Audit fees</t>
  </si>
  <si>
    <t>Water charges,Tariff filling fee and Audit fee</t>
  </si>
  <si>
    <t>Rs. Lakh</t>
  </si>
  <si>
    <t xml:space="preserve">4.Others  </t>
  </si>
  <si>
    <t>Not defined</t>
  </si>
  <si>
    <t>2.59 &amp; 19.6</t>
  </si>
  <si>
    <t xml:space="preserve">Actual PLF is greater than NAPLF </t>
  </si>
  <si>
    <t>Actual charges paid over and bove O&amp;M charges</t>
  </si>
  <si>
    <t>Water charges, Audit fee &amp; Tariff filling fee</t>
  </si>
  <si>
    <t>water charges, Audit fee &amp; Tariff filling fee</t>
  </si>
  <si>
    <t>Total NTI</t>
  </si>
  <si>
    <t>Package 4</t>
  </si>
  <si>
    <t>Package  5</t>
  </si>
  <si>
    <t>Before Loan refinancing upto 14.10.2020</t>
  </si>
  <si>
    <t>After Loan refinancing from 15.10.2020</t>
  </si>
  <si>
    <t>3 Months</t>
  </si>
  <si>
    <t>Change in CPI %</t>
  </si>
  <si>
    <t>Change in WPI %</t>
  </si>
  <si>
    <t>CPI (April of the opening year)</t>
  </si>
  <si>
    <t>Opening Gross Fixed Asset (GFA) as approved by TSERC</t>
  </si>
  <si>
    <t>Actual O&amp;M</t>
  </si>
  <si>
    <t xml:space="preserve">Total O&amp;M </t>
  </si>
  <si>
    <t xml:space="preserve">Actual </t>
  </si>
  <si>
    <t>Actual CISF</t>
  </si>
  <si>
    <t>Employee Cost as per calculation</t>
  </si>
  <si>
    <t>CISF expenditure provisionally allowed</t>
  </si>
  <si>
    <t>A&amp;Gfo (Average of FY 2017-18 &amp; FY 2018-19 for FY 2019-20)</t>
  </si>
  <si>
    <t>Water charges and filling fees</t>
  </si>
  <si>
    <t xml:space="preserve">Changed due to variation in SBI MCLR </t>
  </si>
  <si>
    <t>Actual NTI is less compared to approved</t>
  </si>
  <si>
    <t>Approved AFC by TSERC vide order dated 28.08.2020</t>
  </si>
  <si>
    <t xml:space="preserve">Claimed in Midterm review </t>
  </si>
  <si>
    <t xml:space="preserve">Actuals </t>
  </si>
  <si>
    <t>Rate of Return on Equity</t>
  </si>
  <si>
    <t>Target Availability</t>
  </si>
  <si>
    <t>Auxiliary Energy Consumption</t>
  </si>
  <si>
    <t>Specific Fuel Oil Consumption</t>
  </si>
  <si>
    <t>O&amp;M Cost</t>
  </si>
  <si>
    <r>
      <rPr>
        <sz val="12"/>
        <rFont val="Arial"/>
        <family val="2"/>
      </rPr>
      <t>Fuel Cost for WC</t>
    </r>
    <r>
      <rPr>
        <vertAlign val="superscript"/>
        <sz val="12"/>
        <rFont val="Tahoma"/>
        <family val="2"/>
      </rPr>
      <t>2</t>
    </r>
  </si>
  <si>
    <r>
      <rPr>
        <sz val="12"/>
        <rFont val="Arial"/>
        <family val="2"/>
      </rPr>
      <t>Liquid Fuel Stock for WC</t>
    </r>
    <r>
      <rPr>
        <vertAlign val="superscript"/>
        <sz val="12"/>
        <rFont val="Tahoma"/>
        <family val="2"/>
      </rPr>
      <t>2</t>
    </r>
  </si>
  <si>
    <t>Incentive Rate</t>
  </si>
  <si>
    <t>Foreign Component, if any (In Million US $ or the relevant Currency)</t>
  </si>
  <si>
    <t>Domestic Component (Rs. Cr.)</t>
  </si>
  <si>
    <t>Foreign  Exchange  rate  considered  for  the admitted Capital cost</t>
  </si>
  <si>
    <t>PETITIONER</t>
  </si>
  <si>
    <r>
      <t>Capital cost admitted as on 31.03.2019 in Crore</t>
    </r>
    <r>
      <rPr>
        <b/>
        <vertAlign val="superscript"/>
        <sz val="12"/>
        <color theme="1" tint="4.9989318521683403E-2"/>
        <rFont val="Times New Roman"/>
        <family val="1"/>
      </rPr>
      <t>1</t>
    </r>
  </si>
  <si>
    <t xml:space="preserve"> Summarised Tariff claim</t>
  </si>
  <si>
    <t>7.19.1.(b)</t>
  </si>
  <si>
    <t>7.19.1.(b)
7.19.1.(f)</t>
  </si>
  <si>
    <t>Projected</t>
  </si>
  <si>
    <t>Approved by TSERC vide order dated 28.08.2020</t>
  </si>
  <si>
    <t>As Loan Restructuring benefit is considered in 3, interest on loan included in AFC is been kept at the prevailing rate prior to Loan refinancing.</t>
  </si>
  <si>
    <t xml:space="preserve">The audited capital expenditure upto 31.03.2019 is submitted in truing up petition a copy of which is also submitted with the tariff petition for FY 2019-24. </t>
  </si>
  <si>
    <r>
      <t>Project Cost as on COD</t>
    </r>
    <r>
      <rPr>
        <b/>
        <vertAlign val="superscript"/>
        <sz val="12"/>
        <color rgb="FF000000"/>
        <rFont val="Times New Roman"/>
        <family val="1"/>
      </rPr>
      <t xml:space="preserve">1 </t>
    </r>
    <r>
      <rPr>
        <b/>
        <sz val="12"/>
        <color rgb="FF000000"/>
        <rFont val="Times New Roman"/>
        <family val="1"/>
      </rPr>
      <t>:</t>
    </r>
  </si>
  <si>
    <r>
      <t>Date of Commercial Operation of the Station</t>
    </r>
    <r>
      <rPr>
        <b/>
        <vertAlign val="superscript"/>
        <sz val="12"/>
        <color rgb="FF000000"/>
        <rFont val="Times New Roman"/>
        <family val="1"/>
      </rPr>
      <t>2</t>
    </r>
    <r>
      <rPr>
        <b/>
        <sz val="12"/>
        <color rgb="FF000000"/>
        <rFont val="Times New Roman"/>
        <family val="1"/>
      </rPr>
      <t xml:space="preserve"> :</t>
    </r>
  </si>
  <si>
    <r>
      <rPr>
        <sz val="12"/>
        <rFont val="Times New Roman"/>
        <family val="1"/>
      </rPr>
      <t>Source of Loan</t>
    </r>
    <r>
      <rPr>
        <vertAlign val="superscript"/>
        <sz val="12"/>
        <rFont val="Times New Roman"/>
        <family val="1"/>
      </rPr>
      <t>1</t>
    </r>
  </si>
  <si>
    <r>
      <rPr>
        <sz val="12"/>
        <rFont val="Times New Roman"/>
        <family val="1"/>
      </rPr>
      <t>Currency</t>
    </r>
    <r>
      <rPr>
        <vertAlign val="superscript"/>
        <sz val="12"/>
        <rFont val="Times New Roman"/>
        <family val="1"/>
      </rPr>
      <t>2</t>
    </r>
  </si>
  <si>
    <r>
      <t xml:space="preserve">Amount of Gross Loan drawn upto 31.03.2004/COD </t>
    </r>
    <r>
      <rPr>
        <vertAlign val="superscript"/>
        <sz val="12"/>
        <rFont val="Times New Roman"/>
        <family val="1"/>
      </rPr>
      <t>3,4,5,13,15</t>
    </r>
  </si>
  <si>
    <r>
      <rPr>
        <sz val="12"/>
        <rFont val="Times New Roman"/>
        <family val="1"/>
      </rPr>
      <t>Interest Type</t>
    </r>
    <r>
      <rPr>
        <vertAlign val="superscript"/>
        <sz val="12"/>
        <rFont val="Times New Roman"/>
        <family val="1"/>
      </rPr>
      <t>6</t>
    </r>
  </si>
  <si>
    <r>
      <rPr>
        <sz val="12"/>
        <rFont val="Times New Roman"/>
        <family val="1"/>
      </rPr>
      <t>Base Rate, if Floating Interest</t>
    </r>
    <r>
      <rPr>
        <vertAlign val="superscript"/>
        <sz val="12"/>
        <rFont val="Times New Roman"/>
        <family val="1"/>
      </rPr>
      <t>7</t>
    </r>
  </si>
  <si>
    <r>
      <rPr>
        <sz val="12"/>
        <rFont val="Times New Roman"/>
        <family val="1"/>
      </rPr>
      <t>Margin, if Floating Interest</t>
    </r>
    <r>
      <rPr>
        <vertAlign val="superscript"/>
        <sz val="12"/>
        <rFont val="Times New Roman"/>
        <family val="1"/>
      </rPr>
      <t>8</t>
    </r>
  </si>
  <si>
    <r>
      <rPr>
        <sz val="12"/>
        <rFont val="Times New Roman"/>
        <family val="1"/>
      </rPr>
      <t>Are there any Caps/Floor</t>
    </r>
    <r>
      <rPr>
        <vertAlign val="superscript"/>
        <sz val="12"/>
        <rFont val="Times New Roman"/>
        <family val="1"/>
      </rPr>
      <t>9</t>
    </r>
  </si>
  <si>
    <r>
      <rPr>
        <sz val="12"/>
        <rFont val="Times New Roman"/>
        <family val="1"/>
      </rPr>
      <t>Moratorium Period</t>
    </r>
    <r>
      <rPr>
        <vertAlign val="superscript"/>
        <sz val="12"/>
        <rFont val="Times New Roman"/>
        <family val="1"/>
      </rPr>
      <t>10</t>
    </r>
  </si>
  <si>
    <r>
      <rPr>
        <sz val="12"/>
        <rFont val="Times New Roman"/>
        <family val="1"/>
      </rPr>
      <t>Repayment Period</t>
    </r>
    <r>
      <rPr>
        <vertAlign val="superscript"/>
        <sz val="12"/>
        <rFont val="Times New Roman"/>
        <family val="1"/>
      </rPr>
      <t>11</t>
    </r>
  </si>
  <si>
    <r>
      <rPr>
        <sz val="12"/>
        <rFont val="Times New Roman"/>
        <family val="1"/>
      </rPr>
      <t>Repayment Frequency</t>
    </r>
    <r>
      <rPr>
        <vertAlign val="superscript"/>
        <sz val="12"/>
        <rFont val="Times New Roman"/>
        <family val="1"/>
      </rPr>
      <t>12</t>
    </r>
  </si>
  <si>
    <r>
      <rPr>
        <sz val="12"/>
        <rFont val="Times New Roman"/>
        <family val="1"/>
      </rPr>
      <t>Repayment Instalment</t>
    </r>
    <r>
      <rPr>
        <vertAlign val="superscript"/>
        <sz val="12"/>
        <rFont val="Times New Roman"/>
        <family val="1"/>
      </rPr>
      <t>13,14</t>
    </r>
  </si>
  <si>
    <r>
      <rPr>
        <sz val="12"/>
        <rFont val="Times New Roman"/>
        <family val="1"/>
      </rPr>
      <t>Base Exchange Rate</t>
    </r>
    <r>
      <rPr>
        <vertAlign val="superscript"/>
        <sz val="12"/>
        <rFont val="Times New Roman"/>
        <family val="1"/>
      </rPr>
      <t>16</t>
    </r>
  </si>
  <si>
    <r>
      <rPr>
        <vertAlign val="superscript"/>
        <sz val="12"/>
        <rFont val="Times New Roman"/>
        <family val="1"/>
      </rPr>
      <t xml:space="preserve">1 </t>
    </r>
    <r>
      <rPr>
        <sz val="12"/>
        <rFont val="Times New Roman"/>
        <family val="1"/>
      </rPr>
      <t>Source of loan means the agency from whom the loan has been taken such as WB, ADB, WMB, PNB, SBI, ICICI, IFC, PFC etc.</t>
    </r>
  </si>
  <si>
    <r>
      <rPr>
        <vertAlign val="superscript"/>
        <sz val="12"/>
        <rFont val="Times New Roman"/>
        <family val="1"/>
      </rPr>
      <t xml:space="preserve">2 </t>
    </r>
    <r>
      <rPr>
        <sz val="12"/>
        <rFont val="Times New Roman"/>
        <family val="1"/>
      </rPr>
      <t>Currency refers to currency of loan such as US$, DM, Yen,Indian Rupee etc.</t>
    </r>
  </si>
  <si>
    <r>
      <rPr>
        <vertAlign val="superscript"/>
        <sz val="12"/>
        <rFont val="Times New Roman"/>
        <family val="1"/>
      </rPr>
      <t xml:space="preserve">3 </t>
    </r>
    <r>
      <rPr>
        <sz val="12"/>
        <rFont val="Times New Roman"/>
        <family val="1"/>
      </rPr>
      <t>Details are to be submitted as on 31.03.2004 for existing assets and as on COD for the remaining assets.</t>
    </r>
  </si>
  <si>
    <r>
      <rPr>
        <vertAlign val="superscript"/>
        <sz val="12"/>
        <rFont val="Times New Roman"/>
        <family val="1"/>
      </rPr>
      <t xml:space="preserve">4 </t>
    </r>
    <r>
      <rPr>
        <sz val="12"/>
        <rFont val="Times New Roman"/>
        <family val="1"/>
      </rPr>
      <t>Where the loan has been refinanced, details in the Form is to be given for the loan refinaced. However, the details of the original loan is to be given seperately in the same form.</t>
    </r>
  </si>
  <si>
    <r>
      <rPr>
        <vertAlign val="superscript"/>
        <sz val="12"/>
        <rFont val="Times New Roman"/>
        <family val="1"/>
      </rPr>
      <t xml:space="preserve">5 </t>
    </r>
    <r>
      <rPr>
        <sz val="12"/>
        <rFont val="Times New Roman"/>
        <family val="1"/>
      </rPr>
      <t>If the Tariff in the petition is claimed seperately for various units, details in the Form is to be given seperately for all the units in the same form.</t>
    </r>
  </si>
  <si>
    <r>
      <rPr>
        <vertAlign val="superscript"/>
        <sz val="12"/>
        <rFont val="Times New Roman"/>
        <family val="1"/>
      </rPr>
      <t xml:space="preserve">6 </t>
    </r>
    <r>
      <rPr>
        <sz val="12"/>
        <rFont val="Times New Roman"/>
        <family val="1"/>
      </rPr>
      <t>Interest type means whether the interest is fixed or floating.</t>
    </r>
  </si>
  <si>
    <r>
      <rPr>
        <vertAlign val="superscript"/>
        <sz val="12"/>
        <rFont val="Times New Roman"/>
        <family val="1"/>
      </rPr>
      <t xml:space="preserve">7 </t>
    </r>
    <r>
      <rPr>
        <sz val="12"/>
        <rFont val="Times New Roman"/>
        <family val="1"/>
      </rPr>
      <t>Base rate means the base as PLR, LIBOR etc. over which the margin is to be added. Applicable base rate on different dates from the date of drawl may also be enclosed.</t>
    </r>
  </si>
  <si>
    <r>
      <rPr>
        <vertAlign val="superscript"/>
        <sz val="12"/>
        <rFont val="Times New Roman"/>
        <family val="1"/>
      </rPr>
      <t xml:space="preserve">8 </t>
    </r>
    <r>
      <rPr>
        <sz val="12"/>
        <rFont val="Times New Roman"/>
        <family val="1"/>
      </rPr>
      <t>Margin means the points over and above the floating rate.</t>
    </r>
  </si>
  <si>
    <r>
      <rPr>
        <vertAlign val="superscript"/>
        <sz val="12"/>
        <rFont val="Times New Roman"/>
        <family val="1"/>
      </rPr>
      <t xml:space="preserve">9 </t>
    </r>
    <r>
      <rPr>
        <sz val="12"/>
        <rFont val="Times New Roman"/>
        <family val="1"/>
      </rPr>
      <t>At times caps/floor are put at which the floating rates are frozen. If such a condition exists, specify the limits.</t>
    </r>
  </si>
  <si>
    <r>
      <rPr>
        <vertAlign val="superscript"/>
        <sz val="12"/>
        <rFont val="Times New Roman"/>
        <family val="1"/>
      </rPr>
      <t xml:space="preserve">10 </t>
    </r>
    <r>
      <rPr>
        <sz val="12"/>
        <rFont val="Times New Roman"/>
        <family val="1"/>
      </rPr>
      <t>Moratorium period refers to the period during which loan servicing liability is not required.</t>
    </r>
  </si>
  <si>
    <r>
      <rPr>
        <vertAlign val="superscript"/>
        <sz val="12"/>
        <rFont val="Times New Roman"/>
        <family val="1"/>
      </rPr>
      <t xml:space="preserve">11 </t>
    </r>
    <r>
      <rPr>
        <sz val="12"/>
        <rFont val="Times New Roman"/>
        <family val="1"/>
      </rPr>
      <t>Repayment period means the repayment of loan such as 7 years, 10 years, 25 years etc.</t>
    </r>
  </si>
  <si>
    <r>
      <rPr>
        <vertAlign val="superscript"/>
        <sz val="12"/>
        <rFont val="Times New Roman"/>
        <family val="1"/>
      </rPr>
      <t xml:space="preserve">12 </t>
    </r>
    <r>
      <rPr>
        <sz val="12"/>
        <rFont val="Times New Roman"/>
        <family val="1"/>
      </rPr>
      <t>Repayment frequency means the interval at which the debt servicing is to be done such as monthly, quarterly, half yearly, annual, etc.</t>
    </r>
  </si>
  <si>
    <r>
      <rPr>
        <vertAlign val="superscript"/>
        <sz val="12"/>
        <rFont val="Times New Roman"/>
        <family val="1"/>
      </rPr>
      <t xml:space="preserve">13 </t>
    </r>
    <r>
      <rPr>
        <sz val="12"/>
        <rFont val="Times New Roman"/>
        <family val="1"/>
      </rPr>
      <t>Where there is more than one drawal/repayment for a loan, the date &amp; amount of each drawal/repayement may also be given seperately</t>
    </r>
  </si>
  <si>
    <r>
      <rPr>
        <vertAlign val="superscript"/>
        <sz val="12"/>
        <rFont val="Times New Roman"/>
        <family val="1"/>
      </rPr>
      <t xml:space="preserve">14 </t>
    </r>
    <r>
      <rPr>
        <sz val="12"/>
        <rFont val="Times New Roman"/>
        <family val="1"/>
      </rPr>
      <t>If the repayment  instalment amount and repayment date  can not be worked out from the data furnished above, the repayment schedule to be  furnished seperately.</t>
    </r>
  </si>
  <si>
    <r>
      <rPr>
        <vertAlign val="superscript"/>
        <sz val="12"/>
        <rFont val="Times New Roman"/>
        <family val="1"/>
      </rPr>
      <t xml:space="preserve">15 </t>
    </r>
    <r>
      <rPr>
        <sz val="12"/>
        <rFont val="Times New Roman"/>
        <family val="1"/>
      </rPr>
      <t>In case of Foreign loan,date of each  drawal &amp; repayment alongwith exchange rate at that date may be given.</t>
    </r>
  </si>
  <si>
    <r>
      <rPr>
        <vertAlign val="superscript"/>
        <sz val="12"/>
        <rFont val="Times New Roman"/>
        <family val="1"/>
      </rPr>
      <t xml:space="preserve">16 </t>
    </r>
    <r>
      <rPr>
        <sz val="12"/>
        <rFont val="Times New Roman"/>
        <family val="1"/>
      </rPr>
      <t>Base exchange rate means the exchange rate prevailing as on 31.03.2004 for existing assets and as on COD for the remaining assets.</t>
    </r>
  </si>
  <si>
    <t xml:space="preserve">The  works are with in the original scope and spilled over to current control period. In view of this, Hon'ble Commission may be pleased to allow the same under regulation 7.19.1. (b) of Tariff regulation 01 of 2019.  </t>
  </si>
  <si>
    <t xml:space="preserve">The  works are with in the original scope and spilled over to current control period. The works got delayed as the original contractor left the site without completing the works. Balance works are allotted to other contractor for finishing as per the original scope. In view of this, Hon'ble Commission may be pleased to allow the same under regulation 7.19.1. (b) of Tariff regulation 01 of 2019.  </t>
  </si>
  <si>
    <t xml:space="preserve">Statement of additional capitalisation </t>
  </si>
  <si>
    <t>Calculation of Weighted Average Rate of Interest on Actual Loans</t>
  </si>
  <si>
    <t xml:space="preserve">Grossed up rate of ROE % </t>
  </si>
  <si>
    <r>
      <rPr>
        <b/>
        <sz val="12"/>
        <rFont val="Times New Roman"/>
        <family val="1"/>
      </rPr>
      <t>Sl.
No.</t>
    </r>
  </si>
  <si>
    <t>Appendix-V</t>
  </si>
  <si>
    <t xml:space="preserve"> Summarised Revenue Requirement  FY 2019-20, 2020-21 &amp; 2021-22</t>
  </si>
  <si>
    <t xml:space="preserve"> Summarised Revenue Requirement  FY 2022-23 &amp; 2023-24</t>
  </si>
  <si>
    <t>ARR-Actual</t>
  </si>
  <si>
    <t>Form- 5B</t>
  </si>
  <si>
    <t>Rs Crore</t>
  </si>
  <si>
    <r>
      <t>Other works undertaken by SCCL</t>
    </r>
    <r>
      <rPr>
        <b/>
        <sz val="12"/>
        <color rgb="FF000000"/>
        <rFont val="Times New Roman"/>
        <family val="1"/>
      </rPr>
      <t xml:space="preserve"> Total</t>
    </r>
  </si>
  <si>
    <t xml:space="preserve">AFC claimed in midterm review </t>
  </si>
  <si>
    <r>
      <t>Basic Characteristics of the Plant</t>
    </r>
    <r>
      <rPr>
        <b/>
        <vertAlign val="superscript"/>
        <sz val="12"/>
        <color rgb="FF000000"/>
        <rFont val="Times New Roman"/>
        <family val="1"/>
      </rPr>
      <t>1</t>
    </r>
  </si>
  <si>
    <r>
      <t>Site Specific Features</t>
    </r>
    <r>
      <rPr>
        <b/>
        <vertAlign val="superscript"/>
        <sz val="12"/>
        <color rgb="FF000000"/>
        <rFont val="Times New Roman"/>
        <family val="1"/>
      </rPr>
      <t>2</t>
    </r>
  </si>
  <si>
    <r>
      <t>Special technological Features</t>
    </r>
    <r>
      <rPr>
        <b/>
        <vertAlign val="superscript"/>
        <sz val="12"/>
        <color rgb="FF000000"/>
        <rFont val="Times New Roman"/>
        <family val="1"/>
      </rPr>
      <t>3</t>
    </r>
  </si>
  <si>
    <r>
      <t>Environmental Regulation related features</t>
    </r>
    <r>
      <rPr>
        <b/>
        <vertAlign val="superscript"/>
        <sz val="12"/>
        <color rgb="FF000000"/>
        <rFont val="Times New Roman"/>
        <family val="1"/>
      </rPr>
      <t>4</t>
    </r>
  </si>
  <si>
    <r>
      <t>Fuel Details</t>
    </r>
    <r>
      <rPr>
        <b/>
        <vertAlign val="superscript"/>
        <sz val="12"/>
        <color rgb="FF000000"/>
        <rFont val="Times New Roman"/>
        <family val="1"/>
      </rPr>
      <t>5</t>
    </r>
  </si>
  <si>
    <r>
      <t>Type of Cooling System</t>
    </r>
    <r>
      <rPr>
        <vertAlign val="superscript"/>
        <sz val="12"/>
        <color rgb="FF000000"/>
        <rFont val="Times New Roman"/>
        <family val="1"/>
      </rPr>
      <t>6</t>
    </r>
  </si>
  <si>
    <r>
      <t>1</t>
    </r>
    <r>
      <rPr>
        <sz val="12"/>
        <color rgb="FF000000"/>
        <rFont val="Times New Roman"/>
        <family val="1"/>
      </rPr>
      <t xml:space="preserve"> Describe the basic characteristics of the plant e.g. in the case of a coal based plant whether it is a conventional steam generator or circulating fluidized bed combustion generator or sub-critical once through steam generator etc.</t>
    </r>
  </si>
  <si>
    <r>
      <t>2</t>
    </r>
    <r>
      <rPr>
        <sz val="12"/>
        <color rgb="FF000000"/>
        <rFont val="Times New Roman"/>
        <family val="1"/>
      </rPr>
      <t xml:space="preserve"> Any site specific feature such as Merry-Go-Round, Vicinity to sea, intake/ makeup water systems etc., scrubbers etc. Specify all such features.</t>
    </r>
  </si>
  <si>
    <r>
      <t>3</t>
    </r>
    <r>
      <rPr>
        <sz val="12"/>
        <color rgb="FF000000"/>
        <rFont val="Times New Roman"/>
        <family val="1"/>
      </rPr>
      <t xml:space="preserve"> Any special technological feature like Advanced class FA technology in Gas Turbines, etc.</t>
    </r>
  </si>
  <si>
    <r>
      <t xml:space="preserve">4 </t>
    </r>
    <r>
      <rPr>
        <sz val="12"/>
        <color rgb="FF000000"/>
        <rFont val="Times New Roman"/>
        <family val="1"/>
      </rPr>
      <t>Environmental Regulation related features like FGD, ESP, etc.</t>
    </r>
  </si>
  <si>
    <r>
      <t>5</t>
    </r>
    <r>
      <rPr>
        <sz val="12"/>
        <color rgb="FF000000"/>
        <rFont val="Times New Roman"/>
        <family val="1"/>
      </rPr>
      <t xml:space="preserve"> Coal (type of coal included) or natural gas or naphtha or lignite etc. </t>
    </r>
  </si>
  <si>
    <r>
      <t xml:space="preserve">6 </t>
    </r>
    <r>
      <rPr>
        <sz val="12"/>
        <color rgb="FF000000"/>
        <rFont val="Times New Roman"/>
        <family val="1"/>
      </rPr>
      <t>Closed circuit cooling with type of cooling tower (natural draft or mechanical draft (forced or induced)), once through cooling, sea cooling, dry cooling etc.</t>
    </r>
  </si>
  <si>
    <r>
      <t xml:space="preserve">7 </t>
    </r>
    <r>
      <rPr>
        <sz val="12"/>
        <color rgb="FF000000"/>
        <rFont val="Times New Roman"/>
        <family val="1"/>
      </rPr>
      <t>Design Heat Rate of a generating unit means the unit heat rate guaranteed by the supplier at conditions of 100% MCR, zero percent make up, design coal and design cooling water temperature/back pressure</t>
    </r>
  </si>
  <si>
    <t>FORM-12</t>
  </si>
  <si>
    <r>
      <rPr>
        <b/>
        <sz val="12"/>
        <color rgb="FF000000"/>
        <rFont val="Times New Roman"/>
        <family val="1"/>
      </rPr>
      <t>Notes</t>
    </r>
    <r>
      <rPr>
        <sz val="12"/>
        <color rgb="FF000000"/>
        <rFont val="Times New Roman"/>
        <family val="1"/>
      </rPr>
      <t xml:space="preserve"> -</t>
    </r>
  </si>
  <si>
    <t xml:space="preserve">The  works are with in the original scope and spilled over to current control period: As part of security infrastructure to CISF. In view of this, Hon'ble Commission may be pleased to allow the same under regulation 7.19.1. (b) &amp; 7.19.1.(f) of Tariff regulation 01 of 2019.  </t>
  </si>
  <si>
    <t xml:space="preserve">The amount of establishment cost decreased due to reappropriation of some works which are related to other head wrongly mapped to this  heads. In view of this, Hon'ble Commission may be pleased to allow the same under regulation 7.19.1. (b) of Tariff regulation 01 of 2019.  </t>
  </si>
  <si>
    <t xml:space="preserve">The  works are with in the original scope and spilled over to current control period CHP balance works. In view of this, Hon'ble Commission may be pleased to allow the same under regulation 7.19.1. (b) of Tariff regulation 01 of 2019.  </t>
  </si>
  <si>
    <t xml:space="preserve">The  works are with in the original scope and spilled over to current control period near CHP.In view of this, Hon'ble Commission may be pleased to allow the same under regulation 7.19.1. (b) of Tariff regulation 01 of 2019.  </t>
  </si>
  <si>
    <t xml:space="preserve">The  works are with in the original scope and spilled over to current control period: Reservoir at plant &amp; Intermediate storage reservoir at Kambojipet village. In view of this, Hon'ble Commission may be pleased to allow the same under regulation 7.19.1. (b) of Tariff regulation 01 of 2019.  </t>
  </si>
  <si>
    <t xml:space="preserve">The  works are with in the original scope and spilled over to current control period: Railway bridge on rasulpalli vague.  In view of this, Hon'ble Commission may be pleased to allow the same under regulation 7.19.1. (b) of Tariff regulation 01 of 2019.  </t>
  </si>
  <si>
    <t xml:space="preserve">The  works are with in the original scope and spilled over to current control period: Roads in Narva village: Rs 0.12 Crs,Training on track line under CSR: Rs 0.02 Crs
Ambulance to Blood bank: Rs 0.33 Crs. In view of this, Hon'ble Commission may be pleased to allow the same under regulation 7.19.1. (b) of Tariff regulation 01 of 2019.  </t>
  </si>
  <si>
    <t>Extension of armory building for CISF, CC pavement and rest sheds</t>
  </si>
  <si>
    <t>Cumulative repayment of Normative loan up to previous year</t>
  </si>
  <si>
    <t>Note: Add cap in FY 2020-21 is day apportioned value</t>
  </si>
  <si>
    <t>Annualized savings in O&amp;M</t>
  </si>
  <si>
    <t>K in percentage ( Annualized R&amp;M / GFA)</t>
  </si>
  <si>
    <t>cal/kg</t>
  </si>
  <si>
    <t xml:space="preserve">Paisa/kWh </t>
  </si>
  <si>
    <t>In Core</t>
  </si>
  <si>
    <t>( with the assumption that demand of oil will decrease with increase in use of renewable energy)</t>
  </si>
  <si>
    <t>Total applicable interest rate.
 (Sly 8+ Sly 14)</t>
  </si>
  <si>
    <t xml:space="preserve">Wt. Avg. GCV of Oil </t>
  </si>
  <si>
    <t xml:space="preserve">Wt. Avg. GCV of Coal </t>
  </si>
  <si>
    <t xml:space="preserve">Price of Coal </t>
  </si>
  <si>
    <t xml:space="preserve">Rate of Energy Charge ex-bus per kWh </t>
  </si>
  <si>
    <t>Price of Oil</t>
  </si>
  <si>
    <t xml:space="preserve">The  works are within the original scope and spilled over to current control period: Geotech investigation for railway siding works .In view of this, Hon'ble Commission may be pleased to allow the same under regulation 7.19.1. (b) of Tariff regulation 01 of 2019.   </t>
  </si>
  <si>
    <t xml:space="preserve">The  works are within the original scope and spilled over to current control period. In view of this, Hon'ble Commission may be pleased to allow the same under regulation 7.19.1. (b) of Tariff regulation 01 of 2019.  </t>
  </si>
  <si>
    <t xml:space="preserve">The  works are within the original scope and spilled over to current control period In view of this, Hon'ble Commission may be pleased to allow the same under regulation 7.19.1. (b) of Tariff regulation 01 of 2019.  </t>
  </si>
  <si>
    <t xml:space="preserve">The  works are within the original scope and spilled over to current control period. The works got delayed as the original contractor left the site without completing the works. Balance works are allotted to other contractor for finishing as per the original scope. In view of this, Hon'ble Commission may be pleased to allow the same under regulation 7.19.1. (b) of Tariff regulation 01 of 2019.  </t>
  </si>
  <si>
    <t xml:space="preserve">The  works are within the original scope and spilled over to current control period.: Roads in Narva village: Rs 0.13 Cr, CSR works in villages: Rs 0.59cr, 20 Nos bore wells in surrounding villages : Rs 0.29 Cr, Supply of earth to temple at jaipur : Rs 0.02 Cr, CC approach road to Nazeerpalli : Rs 0.28 Cr, CCTV cameras on main roads : Rs 0.14 cr and High level bridge on jaipur Shetpalli : Rs 0.76 cr. In view of this, Hon'ble Commission may be pleased to allow the same under regulation 7.19.1. (b) of Tariff regulation 01 of 2019.  </t>
  </si>
  <si>
    <t xml:space="preserve">The  works are within the original scope and spilled over to current control period: 1) Payment of codal charges to railways, 2)Construction of 9 Nos RUBs for Railway, 3) Rails for BG railway track and 4) Linking of Railway track. In view of this, Hon'ble Commission may be pleased to allow the same under regulation 7.19.1. (b) of Tariff regulation 01 of 2019.   </t>
  </si>
  <si>
    <t xml:space="preserve">O.P.Nos.4 and 5 of 2019,
O.P.Nos. 8 and 9 of 2020 </t>
  </si>
  <si>
    <t>Attached in Form 16</t>
  </si>
  <si>
    <t>Receivables for working capital</t>
  </si>
  <si>
    <t xml:space="preserve">The  works are within the original scope and spilled over to current control period:  IDCT cooling towers balance works: Rs 0.36 Crs, chimney finishing works:  Rs 0.22 Cr and Service and general Equipment balance works: Rs 2.35 Crs of BOP. In view of this, Hon'ble Commission may be pleased to allow the same under regulation 7.19.1. (b) of Tariff regulation 01 of 2019.  </t>
  </si>
  <si>
    <t xml:space="preserve">The  works are within the original scope and spilled over to current control period: 1) Gate complex &amp; time office : Rs 0.39 Crs and  2) Permanent check post both the works were done as required by for CISF: Rs 0.06 Crs as part of security to the plant. In view of this, Hon'ble Commission may be pleased to allow the same under regulation 7.19.1. (b) &amp; 7.19.1.(f) of Tariff regulation 01 of 2019.  </t>
  </si>
  <si>
    <t xml:space="preserve">The  expendtiures are within the original scope and spilled over to current control period: ESP, Boiler balance works. In view of this, Hon'ble Commission may be pleased to allow the same under regulation 7.19.1.(b) of Tariff regulation 01 of 2019.  </t>
  </si>
  <si>
    <t xml:space="preserve">The  works are within the original scope and spilled over to current control period. In view of this, Hon'ble Commission may be pleased to allow the same under regulation 7.19.1.(b) of Tariff regulation 01 of 2019.  </t>
  </si>
  <si>
    <t xml:space="preserve">The  works are within the original scope and spilled over to current control period: As part of security infrastructure to CISF. In view of this, Hon'ble Commission may be pleased to allow the same under regulation 7.19.1. (b) &amp; 7.19.1.(f) of Tariff regulation 01 of 2019.  </t>
  </si>
  <si>
    <t xml:space="preserve">The  works are within the original scope and spilled over to current control period.: CSR works in villages 2017-18 by collector, CC roads in chinthapally vill Chennur Ma: Rs 0.55 Crs, High level bridge on jaipur Shetpalli : Rs 1.21 Crs. In view of this, Hon'ble Commission may be pleased to allow the same under regulation 7.19.1. (b) of Tariff regulation 01 of 2019.  </t>
  </si>
  <si>
    <t xml:space="preserve">The  works are within the original scope and spilled over to current control period:  Project Monotoring Consultancy charges to RITES for railway corridor and Construction of 9 Nos RUBs for Railway : Rs 15.4 Crs. In view of this, Hon'ble Commission may be pleased to allow the same under regulation 7.19.1. (b) of Tariff regulation 01 of 2019.  </t>
  </si>
  <si>
    <t>Notes: 
1.Varaible Charges in actual billing will be made as per TSERC generation  tariff regulation for 2019.</t>
  </si>
  <si>
    <t>2. Restructuring benefit for FY 2022-23 &amp; 2023-24 shall be finalised in End of control period review.</t>
  </si>
  <si>
    <t xml:space="preserve">The  expenditure is with in the original scope and spilled over to current control period: Switch yard ,ESP, Boiler balance works and failed generator rotor refurbishment cost. Additional capital expenditure amount of Rs 5.61 Crs was paid to TSTRANSCO towards Metering Bays for 400 KV STPP Ramadugu-Gajwel Feeders-1&amp;2 and 400KV STPP Sundilla-Nirmal Feeders 1&amp;2 along with the 2 Nos 400KV extension bays at STPP.In view of this, Hon'ble Commission may be pleased to allow the same under regulation 7.19.1. (b) of Tariff regulation 01 of 2019. </t>
  </si>
  <si>
    <t>ADDITION DUE TO ADD CAP</t>
  </si>
  <si>
    <t>Applicable Actual Tax rate paid by SCCL (Corporate TAX/MAT) in %</t>
  </si>
  <si>
    <t>Annual Fixed Charge (AFC)</t>
  </si>
  <si>
    <t>2. Variation in Energy charges due to actual Variation in operating performance parameters, such as Auxiliary Consumption, Secondary fuel oil consumption, Gross Station Heat Rate</t>
  </si>
  <si>
    <t>Calculation of Rate of  Energy^^ Charge(Rs./kWh)</t>
  </si>
  <si>
    <t>^^ Energy Charges provisionally computed based on average actual energy charges during April 2022,May 2022, June 2022 and July 2022 for FY 2022-23. However, actual energy charges shall be claimed as per TSERC generation  tariff regulation 2019.</t>
  </si>
  <si>
    <t>Notes : 
1) Payables for fuel (including oil and secondary fuel oil) to the extent of thirty Days of the cost of fuel computed at target availability will be deducted for computation of working capital as per clause 13.1.(g) of TSERC regulation.
2)  Weighted average 1 year MCLR of SBI for FY 2019-20= 8.16%, FY 2020-21= 7.03%, FY2021-22= 7.00% and  FY2022-23 up to September= 7.47%. For FY 2023-24 last available SBI MLCR i.e. Sept-2022 7.7% is considered.</t>
  </si>
  <si>
    <t>Cost of Coal for 2 months</t>
  </si>
  <si>
    <t xml:space="preserve">*1.During FY 20-21 moratorium availed, Interest amount of Rs. 72.35  Crs added to loan 1 , Rs. 11.31 Crs  added to loan 2 (PFC ) and  Rs. 11.90 Crs added to loan 3 (REC)  which is deemed to be further drawal.                                                
 2. Rs. 3.31 Crs was received back in FY 21-22 against payment of interest on additional interest added to principal during moratorium period which was paid in 2020-21 by SCCL .This amount is not considered in the above calculation.                                                                                                                                                                       
 3. Interest amount mentioned is exclusive of rebate.  
4. During FY 20-21 , One installment is not paid due to availment of moritorium  and during the swapping of loan PFC loan 1 installement due on 15.10.2020 was directly paid to SBI. One installment  paid in advance to SBI, ICICI on 31.03.2021 which actually due on 15.04.2021.                 
5.In case of part year and the periods in which further loan drawal was made ,average net loan is computed based on loan  drawal dates.                                                                                                                                                                   </t>
  </si>
  <si>
    <t>EMPb (Average of FY 2017-18 &amp; FY 2018-19 for FY 2019-20)</t>
  </si>
  <si>
    <t>EMPn = [(EMPb x CPI inflation) +provision]</t>
  </si>
  <si>
    <t>EMPn = (EMPb x CPI inflation) +provision</t>
  </si>
  <si>
    <t>R&amp;M n = Kn x GFAn x WPI inflation</t>
  </si>
  <si>
    <t>A&amp;Gn = (A&amp;Gfo x Inflation Factor) +provision</t>
  </si>
  <si>
    <t xml:space="preserve"> -</t>
  </si>
  <si>
    <t>A1. Actual O&amp;M expenditure in base period:</t>
  </si>
  <si>
    <t xml:space="preserve"> A2 .Estimation of Employee Cost (EMP)  [ Regulation 19.2 ]</t>
  </si>
  <si>
    <r>
      <rPr>
        <b/>
        <sz val="12"/>
        <color theme="1"/>
        <rFont val="Calibri"/>
        <family val="2"/>
        <scheme val="minor"/>
      </rPr>
      <t>Note:</t>
    </r>
    <r>
      <rPr>
        <sz val="12"/>
        <color theme="1"/>
        <rFont val="Calibri"/>
        <family val="2"/>
        <scheme val="minor"/>
      </rPr>
      <t xml:space="preserve"> </t>
    </r>
    <r>
      <rPr>
        <b/>
        <sz val="12"/>
        <color theme="1"/>
        <rFont val="Calibri"/>
        <family val="2"/>
        <scheme val="minor"/>
      </rPr>
      <t>1)</t>
    </r>
    <r>
      <rPr>
        <sz val="12"/>
        <color theme="1"/>
        <rFont val="Calibri"/>
        <family val="2"/>
        <scheme val="minor"/>
      </rPr>
      <t xml:space="preserve"> CPI values for April-2019=312, April-2020=329, April-2021=120.1 &amp; April-2022=127.7, which are used in above table.</t>
    </r>
    <r>
      <rPr>
        <b/>
        <sz val="12"/>
        <color theme="1"/>
        <rFont val="Calibri"/>
        <family val="2"/>
        <scheme val="minor"/>
      </rPr>
      <t xml:space="preserve">
           2) </t>
    </r>
    <r>
      <rPr>
        <sz val="12"/>
        <color theme="1"/>
        <rFont val="Calibri"/>
        <family val="2"/>
        <scheme val="minor"/>
      </rPr>
      <t xml:space="preserve">Correction factor is 2.88 for FY 2021-22 CPI as the base changed from 2001 to 2016.
           </t>
    </r>
    <r>
      <rPr>
        <b/>
        <sz val="12"/>
        <color theme="1"/>
        <rFont val="Calibri"/>
        <family val="2"/>
        <scheme val="minor"/>
      </rPr>
      <t>3)</t>
    </r>
    <r>
      <rPr>
        <sz val="12"/>
        <color theme="1"/>
        <rFont val="Calibri"/>
        <family val="2"/>
        <scheme val="minor"/>
      </rPr>
      <t xml:space="preserve"> 4% provision of employee cost is considered in view of Pay revision of NCWA employee due in FY 2022-23.</t>
    </r>
  </si>
  <si>
    <t xml:space="preserve">R&amp;Mn ( Sl 1 x Sl 2 x Sl 5 % ) </t>
  </si>
  <si>
    <r>
      <rPr>
        <b/>
        <sz val="12"/>
        <color theme="1"/>
        <rFont val="Calibri"/>
        <family val="2"/>
        <scheme val="minor"/>
      </rPr>
      <t>Note:</t>
    </r>
    <r>
      <rPr>
        <sz val="12"/>
        <color theme="1"/>
        <rFont val="Calibri"/>
        <family val="2"/>
        <scheme val="minor"/>
      </rPr>
      <t xml:space="preserve"> </t>
    </r>
    <r>
      <rPr>
        <b/>
        <sz val="12"/>
        <color theme="1"/>
        <rFont val="Calibri"/>
        <family val="2"/>
        <scheme val="minor"/>
      </rPr>
      <t>1)</t>
    </r>
    <r>
      <rPr>
        <sz val="12"/>
        <color theme="1"/>
        <rFont val="Calibri"/>
        <family val="2"/>
        <scheme val="minor"/>
      </rPr>
      <t xml:space="preserve"> WPI value of FY 2018-19 was 119.8.</t>
    </r>
    <r>
      <rPr>
        <b/>
        <sz val="12"/>
        <color theme="1"/>
        <rFont val="Calibri"/>
        <family val="2"/>
        <scheme val="minor"/>
      </rPr>
      <t xml:space="preserve">
    </t>
    </r>
    <r>
      <rPr>
        <sz val="12"/>
        <color theme="1"/>
        <rFont val="Calibri"/>
        <family val="2"/>
        <scheme val="minor"/>
      </rPr>
      <t xml:space="preserve">       2</t>
    </r>
    <r>
      <rPr>
        <b/>
        <sz val="12"/>
        <color theme="1"/>
        <rFont val="Calibri"/>
        <family val="2"/>
        <scheme val="minor"/>
      </rPr>
      <t>)</t>
    </r>
    <r>
      <rPr>
        <sz val="12"/>
        <color theme="1"/>
        <rFont val="Calibri"/>
        <family val="2"/>
        <scheme val="minor"/>
      </rPr>
      <t xml:space="preserve"> WPI for FY 2022-23 was the value of July-2022.</t>
    </r>
  </si>
  <si>
    <t>*Gain is shared in ratio of 1:2 between generator and beneficiaries and loss is shared in the ratio of 2:1 between generator and beneficiaries.</t>
  </si>
  <si>
    <t xml:space="preserve">** The base energy charge for FY 2022 is computed based on average of coal price and oil price during April 2022,May 2022, June 2022 and July 2022, which will be trued up in end ofcontrol period review.
</t>
  </si>
  <si>
    <t>2023-24**</t>
  </si>
  <si>
    <t>C. Gain/Loss computation and sharing (A-B)</t>
  </si>
  <si>
    <t xml:space="preserve">  Incentive</t>
  </si>
  <si>
    <r>
      <rPr>
        <b/>
        <sz val="12"/>
        <rFont val="Times New Roman"/>
        <family val="1"/>
      </rPr>
      <t>Note:</t>
    </r>
    <r>
      <rPr>
        <sz val="12"/>
        <rFont val="Times New Roman"/>
        <family val="1"/>
      </rPr>
      <t xml:space="preserve">
The above calculations for the FY 2022-23 &amp; FY 2023-24 are done based on normative PLF of 85% and actual generation will be considered for claiming incentive at the end of control period review. However, STPP is likely to generate Ex bus energy of 8644MU for  FY 2022-23 and 9071MU for FY 2023-24. </t>
    </r>
  </si>
  <si>
    <r>
      <rPr>
        <b/>
        <sz val="12"/>
        <rFont val="Times New Roman"/>
        <family val="1"/>
      </rPr>
      <t>Note:</t>
    </r>
    <r>
      <rPr>
        <sz val="12"/>
        <rFont val="Times New Roman"/>
        <family val="1"/>
      </rPr>
      <t xml:space="preserve">
The above calculations for the FY 2022-23 &amp; FY 2023-24 are done based on normative PLF of 85% and actual generation will be considered for claiming incentive at the end of control period review. However, STPP is likely to generate Ex bus energy of 8644MU for  FY 2022-23 and 9071MU for FY 2023-24.</t>
    </r>
  </si>
  <si>
    <t>TSERC Regulation number</t>
  </si>
  <si>
    <t xml:space="preserve">Notes :
1) For uncontrollable factors total gain/ loss is passed to beneficiaries.
2) For controllable factors gain is shared in ratio of 1:2 between generator and beneficiaries and loss is shared in the ratio of 2:1 between generator and beneficiaries.
3) For incentive,Water charges,Audit fee &amp; Filling fee total gain/ loss is passed to beneficiaries.
</t>
  </si>
  <si>
    <r>
      <rPr>
        <b/>
        <sz val="12"/>
        <rFont val="Times New Roman"/>
        <family val="1"/>
      </rPr>
      <t>Notes:</t>
    </r>
    <r>
      <rPr>
        <sz val="12"/>
        <rFont val="Times New Roman"/>
        <family val="1"/>
      </rPr>
      <t xml:space="preserve"> 
1) Payables for fuel (including Coal and secondary fuel oil) to the extent of thirty Days of the cost of fuel computed at target availability will be deducted for computation of working capital as per clause 13.1.(g) of TSERC regulation.
2)  Weighted average 1 year MCLR of SBI for FY 2019-20= 8.16%, FY 2020-21= 7.03%, FY 2021-22= 7.00% and  FY 2022-23 up to September= 7.47%. For FY 2023-24 last available SBI MLCR i.e. Sept-2022 7.7% is considered.
3) Rate of interest for working capital is 1 year weighted average MCLR declared by SBI+1.5%.</t>
    </r>
  </si>
  <si>
    <t>(In Rs Crore)</t>
  </si>
  <si>
    <t>(In Rs. Crore)</t>
  </si>
  <si>
    <t>5. Proposed claim including gain/loss sharing in respect of 1,2,3 &amp;4 as above</t>
  </si>
  <si>
    <t xml:space="preserve">The expenditure is within the original scope. Spill over of Balance BTG erection works: Rs 21.17 Crs and Generator Rotor Rs 35.59 Crs, purchased in January 2020 and capitlaised accordingly. During the month of February-2021 unit#1 tripped on field failure fault. After stopping the unit and inspecting it was observed that field connector to retainer ring of generator rotor got damaged.
Similar incident happened in KTPP stage-II,TSGENCO in December-2018 with generator rotor. Generator rotor spare was not available with TSGENCO and consulted M/s BHEL the OEM of the generator and BHEL has responded that minimum 12 months is required for new rotor and minimum 3 months are required for refurbishment of the damaged rotor. TSGENCO with the help of BHEL cannibalized generator rotor spare available form M/s Jindal power limited, Raigarh, Chhattisgarh. In view of this, STPP purchased one generator rotor for exigencies as both the units are of same capacity and as the lead time for purchase of generator rotor is very high i.e. around 1 year. As this spare rotor was available the unit was synchorised again in very less time i.e. 45 days and the power generation was started and supplied to the beneficiaries which in turn helped discoms from buying power in open market with high price. In view of this, Hon'ble Commission may be pleased to allow the same under regulation 7.19.1. (b) of Tariff regulation 01 of 2019.  </t>
  </si>
  <si>
    <t>BALANCE DEPRECIATED VALUE</t>
  </si>
  <si>
    <t>B. Estimation of Repair &amp; Maintenance expenditure (R&amp;M)n [ Reg 19.3 ]</t>
  </si>
  <si>
    <t>Kn (Average K of FY 2017-18 &amp; FY 2018-19 )</t>
  </si>
  <si>
    <t>Gross Working Capital [ 1 +2 +3+4+5]</t>
  </si>
  <si>
    <t>Increase in market interest rates before refinancing and increase in add cap</t>
  </si>
  <si>
    <t>Water charges,audit fees and tariff filling fees</t>
  </si>
  <si>
    <t xml:space="preserve">Computation of Fuel cost </t>
  </si>
  <si>
    <t>Computation of incentive</t>
  </si>
  <si>
    <t>Details of Coal and Oil for Computation of Energy Charges</t>
  </si>
  <si>
    <t>Statement of additional capitalisation year wie</t>
  </si>
  <si>
    <t>Summarised Revenue Requirement  FY 2019-20, 2020-21 &amp; 2021-22</t>
  </si>
  <si>
    <t>Summarised Revenue Requirement  FY 2022-23 &amp; 2023-24</t>
  </si>
  <si>
    <t>ARR -Actual</t>
  </si>
  <si>
    <t>ARR -Projection</t>
  </si>
  <si>
    <t>Tariff claim</t>
  </si>
  <si>
    <t xml:space="preserve">Summarised Tariff claim </t>
  </si>
  <si>
    <t>Notes: Actual availability for FY 2019-20, FY 2020-21 &amp; FY 2021-22 is 95.80%, 88.13% &amp; 93.14% respectively as approved by SLDC. Hence, full AFC is claimed in this midterm review petition.</t>
  </si>
  <si>
    <t>The Midterm review petition of period 2019 -24</t>
  </si>
  <si>
    <t>Singareni Thermal Power Plant</t>
  </si>
</sst>
</file>

<file path=xl/styles.xml><?xml version="1.0" encoding="utf-8"?>
<styleSheet xmlns="http://schemas.openxmlformats.org/spreadsheetml/2006/main">
  <numFmts count="24">
    <numFmt numFmtId="41" formatCode="_(* #,##0_);_(* \(#,##0\);_(* &quot;-&quot;_);_(@_)"/>
    <numFmt numFmtId="43" formatCode="_(* #,##0.00_);_(* \(#,##0.00\);_(* &quot;-&quot;??_);_(@_)"/>
    <numFmt numFmtId="164" formatCode="_ &quot;₹&quot;\ * #,##0.00_ ;_ &quot;₹&quot;\ * \-#,##0.00_ ;_ &quot;₹&quot;\ * &quot;-&quot;??_ ;_ @_ "/>
    <numFmt numFmtId="165" formatCode="_ * #,##0.00_ ;_ * \-#,##0.00_ ;_ * &quot;-&quot;??_ ;_ @_ "/>
    <numFmt numFmtId="166" formatCode="0.0"/>
    <numFmt numFmtId="167" formatCode="0_);\(0\)"/>
    <numFmt numFmtId="168" formatCode="m\.d\.yy;@"/>
    <numFmt numFmtId="169" formatCode="0.0000"/>
    <numFmt numFmtId="170" formatCode="0.000"/>
    <numFmt numFmtId="171" formatCode="_(* #,##0.0000_);_(* \(#,##0.0000\);_(* &quot;-&quot;??_);_(@_)"/>
    <numFmt numFmtId="172" formatCode="_(* #,##0.00000_);_(* \(#,##0.00000\);_(* &quot;-&quot;??_);_(@_)"/>
    <numFmt numFmtId="173" formatCode="0.00000"/>
    <numFmt numFmtId="174" formatCode="0.00_)"/>
    <numFmt numFmtId="175" formatCode="_(* #,##0_);_(* \(#,##0\);_(* &quot;-&quot;??_);_(@_)"/>
    <numFmt numFmtId="176" formatCode="_(* #,##0.000_);_(* \(#,##0.000\);_(* &quot;-&quot;???_);_(@_)"/>
    <numFmt numFmtId="177" formatCode="_ * #,##0_ ;_ * \-#,##0_ ;_ * &quot;-&quot;??_ ;_ @_ "/>
    <numFmt numFmtId="178" formatCode="[$-F800]dddd\,\ mmmm\ dd\,\ yyyy"/>
    <numFmt numFmtId="179" formatCode="#\ ??/100"/>
    <numFmt numFmtId="180" formatCode="0."/>
    <numFmt numFmtId="181" formatCode="0.0%"/>
    <numFmt numFmtId="182" formatCode="_(* #,##0.0_);_(* \(#,##0.0\);_(* &quot;-&quot;??_);_(@_)"/>
    <numFmt numFmtId="183" formatCode="_(* #,##0.000_);_(* \(#,##0.000\);_(* &quot;-&quot;??_);_(@_)"/>
    <numFmt numFmtId="184" formatCode="[$-409]d\-mmm\-yy;@"/>
    <numFmt numFmtId="185" formatCode="[$-409]d/mmm/yy;@"/>
  </numFmts>
  <fonts count="170">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5"/>
      <name val="Tahoma"/>
      <family val="2"/>
    </font>
    <font>
      <sz val="8.5"/>
      <name val="Tahoma"/>
      <family val="2"/>
    </font>
    <font>
      <b/>
      <sz val="8.5"/>
      <color rgb="FF000000"/>
      <name val="Tahoma"/>
      <family val="2"/>
    </font>
    <font>
      <sz val="7"/>
      <name val="Arial"/>
      <family val="2"/>
    </font>
    <font>
      <sz val="8"/>
      <color rgb="FF000000"/>
      <name val="Arial"/>
      <family val="2"/>
    </font>
    <font>
      <b/>
      <sz val="5.5"/>
      <name val="Tahoma"/>
      <family val="2"/>
    </font>
    <font>
      <b/>
      <sz val="10.5"/>
      <name val="Arial"/>
      <family val="2"/>
    </font>
    <font>
      <b/>
      <sz val="10"/>
      <name val="Tahoma"/>
      <family val="2"/>
    </font>
    <font>
      <sz val="10"/>
      <name val="Tahoma"/>
      <family val="2"/>
    </font>
    <font>
      <b/>
      <sz val="5.5"/>
      <color rgb="FF000000"/>
      <name val="Tahoma"/>
      <family val="2"/>
    </font>
    <font>
      <sz val="5.5"/>
      <color rgb="FF000000"/>
      <name val="Tahoma"/>
      <family val="2"/>
    </font>
    <font>
      <sz val="5.5"/>
      <name val="Tahoma"/>
      <family val="2"/>
    </font>
    <font>
      <sz val="4.5"/>
      <name val="Arial"/>
      <family val="2"/>
    </font>
    <font>
      <b/>
      <sz val="6"/>
      <name val="Tahoma"/>
      <family val="2"/>
    </font>
    <font>
      <b/>
      <sz val="6"/>
      <color rgb="FF000000"/>
      <name val="Tahoma"/>
      <family val="2"/>
    </font>
    <font>
      <sz val="6"/>
      <color rgb="FF000000"/>
      <name val="Tahoma"/>
      <family val="2"/>
    </font>
    <font>
      <sz val="6"/>
      <name val="Tahoma"/>
      <family val="2"/>
    </font>
    <font>
      <b/>
      <sz val="10"/>
      <color rgb="FF000000"/>
      <name val="Tahoma"/>
      <family val="2"/>
    </font>
    <font>
      <b/>
      <sz val="11"/>
      <name val="Tahoma"/>
      <family val="2"/>
    </font>
    <font>
      <b/>
      <sz val="11"/>
      <name val="Arial"/>
      <family val="2"/>
    </font>
    <font>
      <sz val="11"/>
      <name val="Tahoma"/>
      <family val="2"/>
    </font>
    <font>
      <b/>
      <sz val="11"/>
      <color rgb="FF000000"/>
      <name val="Tahoma"/>
      <family val="2"/>
    </font>
    <font>
      <sz val="11"/>
      <color rgb="FF000000"/>
      <name val="Tahoma"/>
      <family val="2"/>
    </font>
    <font>
      <sz val="9"/>
      <name val="Arial"/>
      <family val="2"/>
    </font>
    <font>
      <b/>
      <sz val="11.5"/>
      <name val="Tahoma"/>
      <family val="2"/>
    </font>
    <font>
      <b/>
      <u/>
      <sz val="8.5"/>
      <name val="Tahoma"/>
      <family val="2"/>
    </font>
    <font>
      <b/>
      <u/>
      <sz val="5.5"/>
      <name val="Tahoma"/>
      <family val="2"/>
    </font>
    <font>
      <b/>
      <sz val="10.5"/>
      <name val="Arial"/>
      <family val="2"/>
    </font>
    <font>
      <b/>
      <sz val="10"/>
      <name val="Tahoma"/>
      <family val="2"/>
    </font>
    <font>
      <sz val="10"/>
      <name val="Tahoma"/>
      <family val="2"/>
    </font>
    <font>
      <b/>
      <u/>
      <sz val="6"/>
      <name val="Tahoma"/>
      <family val="2"/>
    </font>
    <font>
      <b/>
      <vertAlign val="superscript"/>
      <sz val="3.5"/>
      <name val="Tahoma"/>
      <family val="2"/>
    </font>
    <font>
      <vertAlign val="superscript"/>
      <sz val="3.5"/>
      <name val="Tahoma"/>
      <family val="2"/>
    </font>
    <font>
      <vertAlign val="superscript"/>
      <sz val="5"/>
      <name val="Tahoma"/>
      <family val="2"/>
    </font>
    <font>
      <b/>
      <sz val="11"/>
      <name val="Tahoma"/>
      <family val="2"/>
    </font>
    <font>
      <b/>
      <sz val="11"/>
      <name val="Arial"/>
      <family val="2"/>
    </font>
    <font>
      <b/>
      <vertAlign val="superscript"/>
      <sz val="6"/>
      <name val="Tahoma"/>
      <family val="2"/>
    </font>
    <font>
      <sz val="10"/>
      <name val="Arial"/>
      <family val="2"/>
    </font>
    <font>
      <sz val="12"/>
      <name val="Times New Roman"/>
      <family val="1"/>
    </font>
    <font>
      <sz val="10"/>
      <name val="Arial"/>
      <family val="2"/>
    </font>
    <font>
      <b/>
      <sz val="12"/>
      <name val="Times New Roman"/>
      <family val="1"/>
    </font>
    <font>
      <b/>
      <u/>
      <sz val="12"/>
      <name val="Times New Roman"/>
      <family val="1"/>
    </font>
    <font>
      <sz val="12"/>
      <color rgb="FF0000FF"/>
      <name val="Times New Roman"/>
      <family val="1"/>
    </font>
    <font>
      <sz val="12"/>
      <color rgb="FFFF0000"/>
      <name val="Times New Roman"/>
      <family val="1"/>
    </font>
    <font>
      <sz val="11"/>
      <color indexed="8"/>
      <name val="Calibri"/>
      <family val="2"/>
    </font>
    <font>
      <b/>
      <sz val="10"/>
      <name val="Arial"/>
      <family val="2"/>
    </font>
    <font>
      <b/>
      <u/>
      <sz val="10.5"/>
      <name val="Arial"/>
      <family val="2"/>
    </font>
    <font>
      <b/>
      <u/>
      <vertAlign val="superscript"/>
      <sz val="10.5"/>
      <name val="Arial"/>
      <family val="2"/>
    </font>
    <font>
      <b/>
      <sz val="12"/>
      <name val="Arial"/>
      <family val="2"/>
    </font>
    <font>
      <sz val="11"/>
      <name val="Arial"/>
      <family val="2"/>
    </font>
    <font>
      <sz val="12"/>
      <name val="Arial"/>
      <family val="2"/>
    </font>
    <font>
      <b/>
      <sz val="14"/>
      <name val="Arial"/>
      <family val="2"/>
    </font>
    <font>
      <sz val="12"/>
      <name val="Tahoma"/>
      <family val="2"/>
    </font>
    <font>
      <b/>
      <u/>
      <vertAlign val="superscript"/>
      <sz val="12"/>
      <name val="Times New Roman"/>
      <family val="1"/>
    </font>
    <font>
      <sz val="10"/>
      <name val="Times New Roman"/>
      <family val="1"/>
    </font>
    <font>
      <sz val="10"/>
      <color rgb="FF000000"/>
      <name val="Times New Roman"/>
      <family val="1"/>
    </font>
    <font>
      <b/>
      <sz val="10"/>
      <color rgb="FF000000"/>
      <name val="Times New Roman"/>
      <family val="1"/>
    </font>
    <font>
      <b/>
      <sz val="12"/>
      <name val="Tahoma"/>
      <family val="2"/>
    </font>
    <font>
      <sz val="12"/>
      <color rgb="FF000000"/>
      <name val="Times New Roman"/>
      <family val="1"/>
    </font>
    <font>
      <b/>
      <sz val="11"/>
      <color rgb="FF000000"/>
      <name val="Times New Roman"/>
      <family val="1"/>
    </font>
    <font>
      <b/>
      <sz val="9"/>
      <color theme="1"/>
      <name val="Arial"/>
      <family val="2"/>
    </font>
    <font>
      <b/>
      <sz val="9"/>
      <color rgb="FF000000"/>
      <name val="Arial"/>
      <family val="2"/>
    </font>
    <font>
      <sz val="9"/>
      <color theme="1"/>
      <name val="Arial"/>
      <family val="2"/>
    </font>
    <font>
      <sz val="9"/>
      <color rgb="FF000000"/>
      <name val="Arial"/>
      <family val="2"/>
    </font>
    <font>
      <vertAlign val="superscript"/>
      <sz val="9"/>
      <color rgb="FF000000"/>
      <name val="Arial"/>
      <family val="2"/>
    </font>
    <font>
      <b/>
      <sz val="12"/>
      <color theme="1"/>
      <name val="Calibri"/>
      <family val="2"/>
      <scheme val="minor"/>
    </font>
    <font>
      <sz val="9"/>
      <color theme="1"/>
      <name val="Calibri"/>
      <family val="2"/>
      <scheme val="minor"/>
    </font>
    <font>
      <b/>
      <sz val="11"/>
      <color rgb="FF000000"/>
      <name val="Arial"/>
      <family val="2"/>
    </font>
    <font>
      <b/>
      <sz val="11"/>
      <color theme="1"/>
      <name val="Arial"/>
      <family val="2"/>
    </font>
    <font>
      <b/>
      <sz val="14"/>
      <color rgb="FF000000"/>
      <name val="Arial"/>
      <family val="2"/>
    </font>
    <font>
      <b/>
      <sz val="14"/>
      <color theme="1"/>
      <name val="Arial"/>
      <family val="2"/>
    </font>
    <font>
      <sz val="11"/>
      <color rgb="FF000000"/>
      <name val="Arial"/>
      <family val="2"/>
    </font>
    <font>
      <b/>
      <sz val="12"/>
      <color rgb="FF000000"/>
      <name val="Times New Roman"/>
      <family val="1"/>
    </font>
    <font>
      <b/>
      <sz val="14"/>
      <color rgb="FF000000"/>
      <name val="Times New Roman"/>
      <family val="1"/>
    </font>
    <font>
      <b/>
      <u/>
      <sz val="14"/>
      <name val="Times New Roman"/>
      <family val="1"/>
    </font>
    <font>
      <sz val="10"/>
      <color rgb="FF000000"/>
      <name val="Times New Roman"/>
      <family val="1"/>
    </font>
    <font>
      <b/>
      <sz val="11"/>
      <color theme="1"/>
      <name val="Calibri"/>
      <family val="2"/>
      <scheme val="minor"/>
    </font>
    <font>
      <b/>
      <sz val="16"/>
      <color rgb="FF000000"/>
      <name val="Times New Roman"/>
      <family val="1"/>
    </font>
    <font>
      <b/>
      <vertAlign val="superscript"/>
      <sz val="9"/>
      <color theme="1"/>
      <name val="Arial"/>
      <family val="2"/>
    </font>
    <font>
      <b/>
      <sz val="8"/>
      <color rgb="FF000000"/>
      <name val="Arial"/>
      <family val="2"/>
    </font>
    <font>
      <b/>
      <u/>
      <sz val="8"/>
      <color rgb="FF000000"/>
      <name val="Arial"/>
      <family val="2"/>
    </font>
    <font>
      <b/>
      <sz val="10"/>
      <color rgb="FF000000"/>
      <name val="Arial"/>
      <family val="2"/>
    </font>
    <font>
      <b/>
      <sz val="16"/>
      <color theme="1"/>
      <name val="Calibri"/>
      <family val="2"/>
      <scheme val="minor"/>
    </font>
    <font>
      <sz val="12"/>
      <color theme="1"/>
      <name val="Calibri"/>
      <family val="2"/>
      <scheme val="minor"/>
    </font>
    <font>
      <sz val="12"/>
      <color rgb="FF000000"/>
      <name val="Arial"/>
      <family val="2"/>
    </font>
    <font>
      <b/>
      <sz val="16"/>
      <color rgb="FF000000"/>
      <name val="Arial"/>
      <family val="2"/>
    </font>
    <font>
      <b/>
      <sz val="16"/>
      <color theme="1"/>
      <name val="Arial"/>
      <family val="2"/>
    </font>
    <font>
      <b/>
      <sz val="9"/>
      <name val="Arial"/>
      <family val="2"/>
    </font>
    <font>
      <sz val="10"/>
      <color theme="1"/>
      <name val="Calibri"/>
      <family val="2"/>
      <scheme val="minor"/>
    </font>
    <font>
      <b/>
      <sz val="11"/>
      <name val="Times New Roman"/>
      <family val="1"/>
    </font>
    <font>
      <b/>
      <sz val="14"/>
      <color theme="1"/>
      <name val="Calibri"/>
      <family val="2"/>
      <scheme val="minor"/>
    </font>
    <font>
      <sz val="10"/>
      <color rgb="FF000000"/>
      <name val="Arial"/>
      <family val="2"/>
    </font>
    <font>
      <i/>
      <sz val="12"/>
      <color rgb="FF000000"/>
      <name val="Tahoma"/>
      <family val="2"/>
    </font>
    <font>
      <i/>
      <sz val="12"/>
      <color rgb="FF000000"/>
      <name val="Times New Roman"/>
      <family val="1"/>
    </font>
    <font>
      <i/>
      <sz val="12"/>
      <color rgb="FF000000"/>
      <name val="Arial"/>
      <family val="2"/>
    </font>
    <font>
      <sz val="14"/>
      <color rgb="FF000000"/>
      <name val="Times New Roman"/>
      <family val="1"/>
    </font>
    <font>
      <sz val="14"/>
      <color theme="1"/>
      <name val="Calibri"/>
      <family val="2"/>
      <scheme val="minor"/>
    </font>
    <font>
      <b/>
      <sz val="12"/>
      <color theme="1"/>
      <name val="Times New Roman"/>
      <family val="1"/>
    </font>
    <font>
      <sz val="12"/>
      <color theme="1"/>
      <name val="Times New Roman"/>
      <family val="1"/>
    </font>
    <font>
      <sz val="20"/>
      <color rgb="FF000000"/>
      <name val="Times New Roman"/>
      <family val="1"/>
    </font>
    <font>
      <b/>
      <sz val="20"/>
      <color rgb="FF000000"/>
      <name val="Times New Roman"/>
      <family val="1"/>
    </font>
    <font>
      <sz val="10"/>
      <color rgb="FF000000"/>
      <name val="Times New Roman"/>
      <family val="1"/>
    </font>
    <font>
      <b/>
      <u/>
      <sz val="10"/>
      <name val="Tahoma"/>
      <family val="2"/>
    </font>
    <font>
      <sz val="10"/>
      <color rgb="FF000000"/>
      <name val="Calibri"/>
      <family val="2"/>
    </font>
    <font>
      <b/>
      <sz val="14"/>
      <name val="Times New Roman"/>
      <family val="1"/>
    </font>
    <font>
      <b/>
      <vertAlign val="superscript"/>
      <sz val="12"/>
      <color rgb="FF000000"/>
      <name val="Times New Roman"/>
      <family val="1"/>
    </font>
    <font>
      <vertAlign val="superscript"/>
      <sz val="12"/>
      <color rgb="FF000000"/>
      <name val="Times New Roman"/>
      <family val="1"/>
    </font>
    <font>
      <sz val="11"/>
      <name val="Times New Roman"/>
      <family val="1"/>
    </font>
    <font>
      <sz val="11"/>
      <color theme="1"/>
      <name val="Times New Roman"/>
      <family val="1"/>
    </font>
    <font>
      <b/>
      <sz val="14"/>
      <color theme="1"/>
      <name val="Times New Roman"/>
      <family val="1"/>
    </font>
    <font>
      <b/>
      <sz val="16"/>
      <color theme="1"/>
      <name val="Times New Roman"/>
      <family val="1"/>
    </font>
    <font>
      <sz val="14"/>
      <color theme="1"/>
      <name val="Times New Roman"/>
      <family val="1"/>
    </font>
    <font>
      <sz val="12"/>
      <color rgb="FF000000"/>
      <name val="Tahoma"/>
      <family val="2"/>
    </font>
    <font>
      <b/>
      <sz val="12"/>
      <color rgb="FF000000"/>
      <name val="Tahoma"/>
      <family val="2"/>
    </font>
    <font>
      <b/>
      <sz val="10"/>
      <name val="Times New Roman"/>
      <family val="1"/>
    </font>
    <font>
      <b/>
      <sz val="12"/>
      <color indexed="8"/>
      <name val="Times New Roman"/>
      <family val="1"/>
    </font>
    <font>
      <b/>
      <sz val="13"/>
      <color theme="1"/>
      <name val="Calibri"/>
      <family val="2"/>
      <scheme val="minor"/>
    </font>
    <font>
      <b/>
      <sz val="12"/>
      <color rgb="FF000000"/>
      <name val="Arial"/>
      <family val="2"/>
    </font>
    <font>
      <b/>
      <sz val="11"/>
      <name val="Arial Narrow"/>
      <family val="2"/>
    </font>
    <font>
      <sz val="11"/>
      <name val="Calibri"/>
      <family val="2"/>
      <scheme val="minor"/>
    </font>
    <font>
      <b/>
      <sz val="10"/>
      <name val="Arial Narrow"/>
      <family val="2"/>
    </font>
    <font>
      <b/>
      <sz val="11"/>
      <name val="Calibri"/>
      <family val="2"/>
      <scheme val="minor"/>
    </font>
    <font>
      <sz val="14"/>
      <name val="Arial"/>
      <family val="2"/>
    </font>
    <font>
      <sz val="14"/>
      <name val="Calibri"/>
      <family val="2"/>
      <scheme val="minor"/>
    </font>
    <font>
      <sz val="10"/>
      <color rgb="FF000000"/>
      <name val="Times New Roman"/>
      <family val="1"/>
    </font>
    <font>
      <sz val="14"/>
      <name val="Times New Roman"/>
      <family val="1"/>
    </font>
    <font>
      <b/>
      <sz val="16"/>
      <name val="Times New Roman"/>
      <family val="1"/>
    </font>
    <font>
      <sz val="16"/>
      <name val="Times New Roman"/>
      <family val="1"/>
    </font>
    <font>
      <sz val="16"/>
      <color rgb="FF000000"/>
      <name val="Times New Roman"/>
      <family val="1"/>
    </font>
    <font>
      <sz val="9"/>
      <color indexed="81"/>
      <name val="Tahoma"/>
      <family val="2"/>
    </font>
    <font>
      <b/>
      <sz val="9"/>
      <color indexed="81"/>
      <name val="Tahoma"/>
      <family val="2"/>
    </font>
    <font>
      <sz val="14"/>
      <color rgb="FFFF0000"/>
      <name val="Calibri"/>
      <family val="2"/>
      <scheme val="minor"/>
    </font>
    <font>
      <b/>
      <sz val="12"/>
      <name val="Cambria"/>
      <family val="1"/>
    </font>
    <font>
      <b/>
      <sz val="11"/>
      <name val="Cambria"/>
      <family val="1"/>
    </font>
    <font>
      <b/>
      <sz val="12"/>
      <color rgb="FF000000"/>
      <name val="Cambria"/>
      <family val="2"/>
    </font>
    <font>
      <sz val="12"/>
      <name val="Cambria"/>
      <family val="1"/>
      <scheme val="major"/>
    </font>
    <font>
      <sz val="12"/>
      <color rgb="FF000000"/>
      <name val="Cambria"/>
      <family val="1"/>
      <scheme val="major"/>
    </font>
    <font>
      <b/>
      <sz val="12"/>
      <color rgb="FF000000"/>
      <name val="Cambria"/>
      <family val="1"/>
      <scheme val="major"/>
    </font>
    <font>
      <u/>
      <sz val="10"/>
      <color theme="10"/>
      <name val="Times New Roman"/>
      <family val="1"/>
    </font>
    <font>
      <sz val="8"/>
      <name val="Times New Roman"/>
      <family val="1"/>
    </font>
    <font>
      <vertAlign val="superscript"/>
      <sz val="12"/>
      <name val="Tahoma"/>
      <family val="2"/>
    </font>
    <font>
      <sz val="12"/>
      <color indexed="8"/>
      <name val="Times New Roman"/>
      <family val="1"/>
    </font>
    <font>
      <b/>
      <u/>
      <sz val="12"/>
      <color rgb="FF000000"/>
      <name val="Times New Roman"/>
      <family val="1"/>
    </font>
    <font>
      <sz val="12"/>
      <color theme="1" tint="4.9989318521683403E-2"/>
      <name val="Times New Roman"/>
      <family val="1"/>
    </font>
    <font>
      <b/>
      <vertAlign val="superscript"/>
      <sz val="12"/>
      <color theme="1" tint="4.9989318521683403E-2"/>
      <name val="Times New Roman"/>
      <family val="1"/>
    </font>
    <font>
      <vertAlign val="superscript"/>
      <sz val="12"/>
      <name val="Times New Roman"/>
      <family val="1"/>
    </font>
    <font>
      <sz val="12"/>
      <name val="Calibri"/>
      <family val="2"/>
      <scheme val="minor"/>
    </font>
    <font>
      <sz val="12"/>
      <color theme="1" tint="4.9989318521683403E-2"/>
      <name val="Calibri"/>
      <family val="2"/>
      <scheme val="minor"/>
    </font>
    <font>
      <sz val="12"/>
      <color rgb="FFFF0000"/>
      <name val="Calibri"/>
      <family val="2"/>
      <scheme val="minor"/>
    </font>
    <font>
      <b/>
      <sz val="12"/>
      <color theme="1" tint="4.9989318521683403E-2"/>
      <name val="Calibri"/>
      <family val="2"/>
      <scheme val="minor"/>
    </font>
    <font>
      <sz val="9"/>
      <color rgb="FF000000"/>
      <name val="Times New Roman"/>
      <family val="1"/>
    </font>
    <font>
      <u/>
      <sz val="12"/>
      <color theme="10"/>
      <name val="Times New Roman"/>
      <family val="1"/>
    </font>
  </fonts>
  <fills count="9">
    <fill>
      <patternFill patternType="none"/>
    </fill>
    <fill>
      <patternFill patternType="gray125"/>
    </fill>
    <fill>
      <patternFill patternType="solid">
        <fgColor rgb="FF00FFFF"/>
      </patternFill>
    </fill>
    <fill>
      <patternFill patternType="solid">
        <fgColor rgb="FFFFFF00"/>
        <bgColor indexed="64"/>
      </patternFill>
    </fill>
    <fill>
      <patternFill patternType="solid">
        <fgColor rgb="FFFFF2CC"/>
        <bgColor indexed="64"/>
      </patternFill>
    </fill>
    <fill>
      <patternFill patternType="solid">
        <fgColor rgb="FFDEEAF6"/>
        <bgColor indexed="64"/>
      </patternFill>
    </fill>
    <fill>
      <patternFill patternType="solid">
        <fgColor rgb="FFC4C4C4"/>
      </patternFill>
    </fill>
    <fill>
      <patternFill patternType="solid">
        <fgColor theme="0"/>
        <bgColor indexed="64"/>
      </patternFill>
    </fill>
    <fill>
      <patternFill patternType="solid">
        <fgColor rgb="FF92D050"/>
        <bgColor indexed="64"/>
      </patternFill>
    </fill>
  </fills>
  <borders count="9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top style="thin">
        <color rgb="FF000000"/>
      </top>
      <bottom style="thin">
        <color rgb="FF00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style="thin">
        <color rgb="FF000000"/>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rgb="FF000000"/>
      </left>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rgb="FF000000"/>
      </top>
      <bottom/>
      <diagonal/>
    </border>
    <border>
      <left style="medium">
        <color indexed="64"/>
      </left>
      <right/>
      <top style="thin">
        <color indexed="64"/>
      </top>
      <bottom/>
      <diagonal/>
    </border>
    <border>
      <left style="medium">
        <color indexed="64"/>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style="medium">
        <color indexed="64"/>
      </right>
      <top/>
      <bottom style="thin">
        <color rgb="FF000000"/>
      </bottom>
      <diagonal/>
    </border>
    <border>
      <left style="medium">
        <color indexed="64"/>
      </left>
      <right style="thin">
        <color rgb="FF000000"/>
      </right>
      <top/>
      <bottom/>
      <diagonal/>
    </border>
    <border>
      <left style="thin">
        <color rgb="FF000000"/>
      </left>
      <right style="medium">
        <color indexed="64"/>
      </right>
      <top/>
      <bottom style="thin">
        <color rgb="FF000000"/>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42">
    <xf numFmtId="0" fontId="0" fillId="0" borderId="0"/>
    <xf numFmtId="0" fontId="55" fillId="0" borderId="0"/>
    <xf numFmtId="0" fontId="57" fillId="0" borderId="0"/>
    <xf numFmtId="9" fontId="57" fillId="0" borderId="0" applyFont="0" applyFill="0" applyBorder="0" applyAlignment="0" applyProtection="0"/>
    <xf numFmtId="43" fontId="57" fillId="0" borderId="0" applyFont="0" applyFill="0" applyBorder="0" applyAlignment="0" applyProtection="0"/>
    <xf numFmtId="41" fontId="57" fillId="0" borderId="0" applyFont="0" applyFill="0" applyBorder="0" applyAlignment="0" applyProtection="0"/>
    <xf numFmtId="43" fontId="17" fillId="0" borderId="0" applyFont="0" applyFill="0" applyBorder="0" applyAlignment="0" applyProtection="0"/>
    <xf numFmtId="0" fontId="57" fillId="0" borderId="0" applyFont="0" applyFill="0" applyBorder="0" applyAlignment="0" applyProtection="0"/>
    <xf numFmtId="174" fontId="17" fillId="0" borderId="0" applyFont="0" applyFill="0" applyBorder="0" applyAlignment="0" applyProtection="0"/>
    <xf numFmtId="43" fontId="1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17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43" fontId="57" fillId="0" borderId="0" applyFont="0" applyFill="0" applyBorder="0" applyAlignment="0" applyProtection="0"/>
    <xf numFmtId="174" fontId="1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174" fontId="17" fillId="0" borderId="0" applyFont="0" applyFill="0" applyBorder="0" applyAlignment="0" applyProtection="0"/>
    <xf numFmtId="175"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66" fontId="1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174" fontId="62" fillId="0" borderId="0" applyFont="0" applyFill="0" applyBorder="0" applyAlignment="0" applyProtection="0"/>
    <xf numFmtId="166" fontId="62" fillId="0" borderId="0" applyFont="0" applyFill="0" applyBorder="0" applyAlignment="0" applyProtection="0"/>
    <xf numFmtId="43" fontId="5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174" fontId="5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7" fillId="0" borderId="0"/>
    <xf numFmtId="0" fontId="17" fillId="0" borderId="0"/>
    <xf numFmtId="0" fontId="17" fillId="0" borderId="0"/>
    <xf numFmtId="0" fontId="17" fillId="0" borderId="0"/>
    <xf numFmtId="0" fontId="17" fillId="0" borderId="0"/>
    <xf numFmtId="0" fontId="57" fillId="0" borderId="0"/>
    <xf numFmtId="0" fontId="57" fillId="0" borderId="0"/>
    <xf numFmtId="0" fontId="57" fillId="0" borderId="0"/>
    <xf numFmtId="0" fontId="17" fillId="0" borderId="0"/>
    <xf numFmtId="0" fontId="57" fillId="0" borderId="0"/>
    <xf numFmtId="0" fontId="57" fillId="0" borderId="0"/>
    <xf numFmtId="0" fontId="57" fillId="0" borderId="0"/>
    <xf numFmtId="0" fontId="17" fillId="0" borderId="0"/>
    <xf numFmtId="0" fontId="17" fillId="0" borderId="0"/>
    <xf numFmtId="0" fontId="57" fillId="0" borderId="0"/>
    <xf numFmtId="0" fontId="57" fillId="0" borderId="0"/>
    <xf numFmtId="0" fontId="62" fillId="0" borderId="0"/>
    <xf numFmtId="0" fontId="17" fillId="0" borderId="0"/>
    <xf numFmtId="0" fontId="17" fillId="0" borderId="0"/>
    <xf numFmtId="0" fontId="17" fillId="0" borderId="0"/>
    <xf numFmtId="0" fontId="5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7" fillId="0" borderId="0"/>
    <xf numFmtId="0" fontId="17" fillId="0" borderId="0"/>
    <xf numFmtId="0" fontId="57" fillId="0" borderId="0"/>
    <xf numFmtId="0" fontId="57" fillId="0" borderId="0"/>
    <xf numFmtId="0" fontId="5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6" fillId="0" borderId="0"/>
    <xf numFmtId="43" fontId="93" fillId="0" borderId="0" applyFont="0" applyFill="0" applyBorder="0" applyAlignment="0" applyProtection="0"/>
    <xf numFmtId="0" fontId="15" fillId="0" borderId="0"/>
    <xf numFmtId="9" fontId="93" fillId="0" borderId="0" applyFont="0" applyFill="0" applyBorder="0" applyAlignment="0" applyProtection="0"/>
    <xf numFmtId="0" fontId="11" fillId="0" borderId="0"/>
    <xf numFmtId="0" fontId="10" fillId="0" borderId="0"/>
    <xf numFmtId="0" fontId="119" fillId="0" borderId="0"/>
    <xf numFmtId="0" fontId="8" fillId="0" borderId="0"/>
    <xf numFmtId="165" fontId="8" fillId="0" borderId="0" applyFont="0" applyFill="0" applyBorder="0" applyAlignment="0" applyProtection="0"/>
    <xf numFmtId="0" fontId="73" fillId="0" borderId="0"/>
    <xf numFmtId="0" fontId="55" fillId="0" borderId="0"/>
    <xf numFmtId="165" fontId="7" fillId="0" borderId="0" applyFont="0" applyFill="0" applyBorder="0" applyAlignment="0" applyProtection="0"/>
    <xf numFmtId="0" fontId="142" fillId="0" borderId="0"/>
    <xf numFmtId="0" fontId="6" fillId="0" borderId="0"/>
    <xf numFmtId="0" fontId="5" fillId="0" borderId="0"/>
    <xf numFmtId="165" fontId="5" fillId="0" borderId="0" applyFont="0" applyFill="0" applyBorder="0" applyAlignment="0" applyProtection="0"/>
    <xf numFmtId="0" fontId="1" fillId="0" borderId="0"/>
    <xf numFmtId="0" fontId="55" fillId="0" borderId="0"/>
    <xf numFmtId="165" fontId="73" fillId="0" borderId="0" applyFont="0" applyFill="0" applyBorder="0" applyAlignment="0" applyProtection="0"/>
    <xf numFmtId="165" fontId="1" fillId="0" borderId="0" applyFont="0" applyFill="0" applyBorder="0" applyAlignment="0" applyProtection="0"/>
    <xf numFmtId="0" fontId="156" fillId="0" borderId="0" applyNumberFormat="0" applyFill="0" applyBorder="0" applyAlignment="0" applyProtection="0">
      <alignment vertical="top"/>
      <protection locked="0"/>
    </xf>
  </cellStyleXfs>
  <cellXfs count="2305">
    <xf numFmtId="0" fontId="0" fillId="0" borderId="0" xfId="0" applyAlignment="1">
      <alignment horizontal="left" vertical="top"/>
    </xf>
    <xf numFmtId="0" fontId="18" fillId="0" borderId="1" xfId="0" applyFont="1" applyBorder="1" applyAlignment="1">
      <alignment horizontal="left" vertical="top" wrapText="1"/>
    </xf>
    <xf numFmtId="0" fontId="0" fillId="0" borderId="1" xfId="0" applyBorder="1" applyAlignment="1">
      <alignment horizontal="left" wrapText="1"/>
    </xf>
    <xf numFmtId="0" fontId="19" fillId="0" borderId="1" xfId="0" applyFont="1" applyBorder="1" applyAlignment="1">
      <alignment horizontal="left" vertical="top" wrapText="1"/>
    </xf>
    <xf numFmtId="0" fontId="0" fillId="0" borderId="1" xfId="0" applyBorder="1" applyAlignment="1">
      <alignment horizontal="left" vertical="center" wrapText="1"/>
    </xf>
    <xf numFmtId="1" fontId="20" fillId="0" borderId="1" xfId="0" applyNumberFormat="1" applyFont="1" applyBorder="1" applyAlignment="1">
      <alignment horizontal="center" vertical="top" shrinkToFit="1"/>
    </xf>
    <xf numFmtId="0" fontId="0" fillId="0" borderId="1" xfId="0" applyBorder="1" applyAlignment="1">
      <alignment horizontal="left" vertical="top" wrapText="1"/>
    </xf>
    <xf numFmtId="0" fontId="18" fillId="0" borderId="0" xfId="0" applyFont="1" applyAlignment="1">
      <alignment horizontal="left" vertical="top"/>
    </xf>
    <xf numFmtId="0" fontId="21" fillId="0" borderId="0" xfId="0" applyFont="1" applyAlignment="1">
      <alignment horizontal="left" vertical="top"/>
    </xf>
    <xf numFmtId="0" fontId="23" fillId="0" borderId="1" xfId="0" applyFont="1" applyBorder="1" applyAlignment="1">
      <alignment horizontal="left" vertical="top" wrapText="1"/>
    </xf>
    <xf numFmtId="0" fontId="23" fillId="0" borderId="1" xfId="0" applyFont="1" applyBorder="1" applyAlignment="1">
      <alignment horizontal="center" vertical="top" wrapText="1"/>
    </xf>
    <xf numFmtId="0" fontId="0" fillId="0" borderId="1" xfId="0" applyBorder="1" applyAlignment="1">
      <alignment horizontal="center" vertical="top" wrapText="1"/>
    </xf>
    <xf numFmtId="167" fontId="27" fillId="0" borderId="1" xfId="0" applyNumberFormat="1" applyFont="1" applyBorder="1" applyAlignment="1">
      <alignment horizontal="center" vertical="top" shrinkToFit="1"/>
    </xf>
    <xf numFmtId="166" fontId="27" fillId="0" borderId="1" xfId="0" applyNumberFormat="1" applyFont="1" applyBorder="1" applyAlignment="1">
      <alignment horizontal="center" vertical="top" shrinkToFit="1"/>
    </xf>
    <xf numFmtId="166" fontId="28" fillId="0" borderId="1" xfId="0" applyNumberFormat="1" applyFont="1" applyBorder="1" applyAlignment="1">
      <alignment horizontal="center" vertical="top" shrinkToFit="1"/>
    </xf>
    <xf numFmtId="0" fontId="29" fillId="0" borderId="1" xfId="0" applyFont="1" applyBorder="1" applyAlignment="1">
      <alignment horizontal="center" vertical="top" wrapText="1"/>
    </xf>
    <xf numFmtId="168" fontId="28" fillId="0" borderId="1" xfId="0" applyNumberFormat="1" applyFont="1" applyBorder="1" applyAlignment="1">
      <alignment horizontal="center" vertical="top" shrinkToFit="1"/>
    </xf>
    <xf numFmtId="2" fontId="27" fillId="0" borderId="1" xfId="0" applyNumberFormat="1" applyFont="1" applyBorder="1" applyAlignment="1">
      <alignment horizontal="center" vertical="top" shrinkToFit="1"/>
    </xf>
    <xf numFmtId="2" fontId="28" fillId="0" borderId="1" xfId="0" applyNumberFormat="1" applyFont="1" applyBorder="1" applyAlignment="1">
      <alignment horizontal="center" vertical="top" shrinkToFit="1"/>
    </xf>
    <xf numFmtId="0" fontId="30" fillId="0" borderId="0" xfId="0" applyFont="1" applyAlignment="1">
      <alignment horizontal="left" vertical="top"/>
    </xf>
    <xf numFmtId="0" fontId="31" fillId="0" borderId="1" xfId="0" applyFont="1" applyBorder="1" applyAlignment="1">
      <alignment horizontal="left" vertical="top" wrapText="1"/>
    </xf>
    <xf numFmtId="0" fontId="31" fillId="0" borderId="1" xfId="0" applyFont="1" applyBorder="1" applyAlignment="1">
      <alignment horizontal="center" vertical="top" wrapText="1"/>
    </xf>
    <xf numFmtId="167" fontId="32" fillId="0" borderId="1" xfId="0" applyNumberFormat="1" applyFont="1" applyBorder="1" applyAlignment="1">
      <alignment horizontal="right" vertical="top" indent="1" shrinkToFit="1"/>
    </xf>
    <xf numFmtId="167" fontId="32" fillId="0" borderId="1" xfId="0" applyNumberFormat="1" applyFont="1" applyBorder="1" applyAlignment="1">
      <alignment horizontal="center" vertical="top" shrinkToFit="1"/>
    </xf>
    <xf numFmtId="166" fontId="32" fillId="0" borderId="1" xfId="0" applyNumberFormat="1" applyFont="1" applyBorder="1" applyAlignment="1">
      <alignment horizontal="right" vertical="top" indent="1" shrinkToFit="1"/>
    </xf>
    <xf numFmtId="166" fontId="33" fillId="0" borderId="1" xfId="0" applyNumberFormat="1" applyFont="1" applyBorder="1" applyAlignment="1">
      <alignment horizontal="right" vertical="top" indent="1" shrinkToFit="1"/>
    </xf>
    <xf numFmtId="0" fontId="34" fillId="0" borderId="1" xfId="0" applyFont="1" applyBorder="1" applyAlignment="1">
      <alignment horizontal="left" vertical="top" wrapText="1"/>
    </xf>
    <xf numFmtId="0" fontId="34" fillId="0" borderId="1" xfId="0" applyFont="1" applyBorder="1" applyAlignment="1">
      <alignment horizontal="right" vertical="top" wrapText="1"/>
    </xf>
    <xf numFmtId="168" fontId="33" fillId="0" borderId="1" xfId="0" applyNumberFormat="1" applyFont="1" applyBorder="1" applyAlignment="1">
      <alignment horizontal="right" vertical="top" shrinkToFit="1"/>
    </xf>
    <xf numFmtId="2" fontId="33" fillId="0" borderId="1" xfId="0" applyNumberFormat="1" applyFont="1" applyBorder="1" applyAlignment="1">
      <alignment horizontal="right" vertical="top" indent="1" shrinkToFit="1"/>
    </xf>
    <xf numFmtId="167" fontId="32" fillId="0" borderId="1" xfId="0" applyNumberFormat="1" applyFont="1" applyBorder="1" applyAlignment="1">
      <alignment horizontal="left" vertical="top" indent="1" shrinkToFit="1"/>
    </xf>
    <xf numFmtId="0" fontId="19" fillId="0" borderId="0" xfId="0" applyFont="1" applyAlignment="1">
      <alignment horizontal="left" vertical="top"/>
    </xf>
    <xf numFmtId="0" fontId="36" fillId="0" borderId="0" xfId="0" applyFont="1" applyAlignment="1">
      <alignment horizontal="left" vertical="top"/>
    </xf>
    <xf numFmtId="1" fontId="39" fillId="0" borderId="1" xfId="0" applyNumberFormat="1" applyFont="1" applyBorder="1" applyAlignment="1">
      <alignment horizontal="center" vertical="top" shrinkToFit="1"/>
    </xf>
    <xf numFmtId="0" fontId="42" fillId="0" borderId="0" xfId="0" applyFont="1" applyAlignment="1">
      <alignment horizontal="left" vertical="top" indent="19"/>
    </xf>
    <xf numFmtId="0" fontId="56" fillId="0" borderId="0" xfId="1" applyFont="1"/>
    <xf numFmtId="0" fontId="55" fillId="0" borderId="0" xfId="1" applyAlignment="1">
      <alignment vertical="center"/>
    </xf>
    <xf numFmtId="0" fontId="63" fillId="0" borderId="0" xfId="1" applyFont="1" applyAlignment="1">
      <alignment vertical="center"/>
    </xf>
    <xf numFmtId="0" fontId="64" fillId="0" borderId="0" xfId="1" applyFont="1" applyAlignment="1">
      <alignment horizontal="left" vertical="center"/>
    </xf>
    <xf numFmtId="0" fontId="45" fillId="0" borderId="0" xfId="1" applyFont="1" applyAlignment="1">
      <alignment horizontal="left" vertical="center"/>
    </xf>
    <xf numFmtId="2" fontId="45" fillId="0" borderId="0" xfId="1" applyNumberFormat="1" applyFont="1" applyAlignment="1">
      <alignment horizontal="left" vertical="center"/>
    </xf>
    <xf numFmtId="0" fontId="45" fillId="0" borderId="27" xfId="1" applyFont="1" applyBorder="1" applyAlignment="1">
      <alignment horizontal="right" vertical="center" wrapText="1" indent="1"/>
    </xf>
    <xf numFmtId="0" fontId="55" fillId="0" borderId="0" xfId="1" applyAlignment="1">
      <alignment vertical="center" wrapText="1"/>
    </xf>
    <xf numFmtId="0" fontId="55" fillId="0" borderId="18" xfId="1" applyBorder="1" applyAlignment="1">
      <alignment horizontal="left" vertical="top"/>
    </xf>
    <xf numFmtId="0" fontId="55" fillId="0" borderId="20" xfId="1" applyBorder="1" applyAlignment="1">
      <alignment horizontal="left" vertical="top"/>
    </xf>
    <xf numFmtId="0" fontId="55" fillId="0" borderId="21" xfId="1" applyBorder="1" applyAlignment="1">
      <alignment horizontal="left" vertical="top"/>
    </xf>
    <xf numFmtId="0" fontId="47" fillId="0" borderId="21" xfId="1" applyFont="1" applyBorder="1" applyAlignment="1">
      <alignment horizontal="center" vertical="center" wrapText="1"/>
    </xf>
    <xf numFmtId="0" fontId="47" fillId="0" borderId="21" xfId="1" applyFont="1" applyBorder="1" applyAlignment="1">
      <alignment horizontal="center" vertical="center"/>
    </xf>
    <xf numFmtId="0" fontId="47" fillId="0" borderId="22" xfId="1" applyFont="1" applyBorder="1" applyAlignment="1">
      <alignment horizontal="center" vertical="center"/>
    </xf>
    <xf numFmtId="1" fontId="47" fillId="0" borderId="26" xfId="1" applyNumberFormat="1" applyFont="1" applyBorder="1" applyAlignment="1">
      <alignment horizontal="left" vertical="center"/>
    </xf>
    <xf numFmtId="0" fontId="67" fillId="0" borderId="27" xfId="1" applyFont="1" applyBorder="1" applyAlignment="1">
      <alignment horizontal="justify" vertical="top"/>
    </xf>
    <xf numFmtId="0" fontId="47" fillId="0" borderId="27" xfId="1" applyFont="1" applyBorder="1" applyAlignment="1">
      <alignment horizontal="center" vertical="center" wrapText="1"/>
    </xf>
    <xf numFmtId="169" fontId="68" fillId="0" borderId="27" xfId="1" applyNumberFormat="1" applyFont="1" applyBorder="1" applyAlignment="1">
      <alignment horizontal="center" vertical="center"/>
    </xf>
    <xf numFmtId="169" fontId="68" fillId="0" borderId="27" xfId="1" applyNumberFormat="1" applyFont="1" applyBorder="1" applyAlignment="1">
      <alignment horizontal="center" vertical="center" wrapText="1"/>
    </xf>
    <xf numFmtId="169" fontId="68" fillId="0" borderId="32" xfId="1" applyNumberFormat="1" applyFont="1" applyBorder="1" applyAlignment="1">
      <alignment horizontal="center" vertical="center" wrapText="1"/>
    </xf>
    <xf numFmtId="0" fontId="55" fillId="0" borderId="18" xfId="1" applyBorder="1" applyAlignment="1">
      <alignment horizontal="center" vertical="center" wrapText="1"/>
    </xf>
    <xf numFmtId="1" fontId="47" fillId="0" borderId="17" xfId="1" applyNumberFormat="1" applyFont="1" applyBorder="1" applyAlignment="1">
      <alignment horizontal="left" vertical="center"/>
    </xf>
    <xf numFmtId="0" fontId="67" fillId="0" borderId="18" xfId="1" applyFont="1" applyBorder="1" applyAlignment="1">
      <alignment horizontal="left" vertical="top" wrapText="1"/>
    </xf>
    <xf numFmtId="0" fontId="47" fillId="0" borderId="18" xfId="1" applyFont="1" applyBorder="1" applyAlignment="1">
      <alignment horizontal="center" vertical="center" wrapText="1"/>
    </xf>
    <xf numFmtId="169" fontId="68" fillId="0" borderId="18" xfId="1" applyNumberFormat="1" applyFont="1" applyBorder="1" applyAlignment="1">
      <alignment horizontal="center" vertical="center"/>
    </xf>
    <xf numFmtId="169" fontId="68" fillId="0" borderId="18" xfId="1" applyNumberFormat="1" applyFont="1" applyBorder="1" applyAlignment="1">
      <alignment horizontal="center" vertical="center" wrapText="1"/>
    </xf>
    <xf numFmtId="169" fontId="68" fillId="0" borderId="19" xfId="1" applyNumberFormat="1" applyFont="1" applyBorder="1" applyAlignment="1">
      <alignment horizontal="center" vertical="center" wrapText="1"/>
    </xf>
    <xf numFmtId="2" fontId="55" fillId="0" borderId="18" xfId="1" applyNumberFormat="1" applyBorder="1" applyAlignment="1">
      <alignment horizontal="center" vertical="center" wrapText="1"/>
    </xf>
    <xf numFmtId="0" fontId="55" fillId="0" borderId="18" xfId="1" applyBorder="1" applyAlignment="1">
      <alignment vertical="center" wrapText="1"/>
    </xf>
    <xf numFmtId="1" fontId="68" fillId="0" borderId="18" xfId="1" applyNumberFormat="1" applyFont="1" applyBorder="1" applyAlignment="1">
      <alignment horizontal="center" vertical="center"/>
    </xf>
    <xf numFmtId="1" fontId="46" fillId="0" borderId="17" xfId="1" applyNumberFormat="1" applyFont="1" applyBorder="1" applyAlignment="1">
      <alignment horizontal="left" vertical="center"/>
    </xf>
    <xf numFmtId="0" fontId="53" fillId="0" borderId="18" xfId="1" applyFont="1" applyBorder="1" applyAlignment="1">
      <alignment horizontal="left" vertical="center" wrapText="1"/>
    </xf>
    <xf numFmtId="0" fontId="46" fillId="0" borderId="18" xfId="1" applyFont="1" applyBorder="1" applyAlignment="1">
      <alignment horizontal="center" vertical="center" wrapText="1"/>
    </xf>
    <xf numFmtId="1" fontId="66" fillId="0" borderId="18" xfId="1" applyNumberFormat="1" applyFont="1" applyBorder="1" applyAlignment="1">
      <alignment horizontal="center" vertical="center"/>
    </xf>
    <xf numFmtId="169" fontId="66" fillId="0" borderId="18" xfId="1" applyNumberFormat="1" applyFont="1" applyBorder="1" applyAlignment="1">
      <alignment horizontal="center" vertical="center" wrapText="1"/>
    </xf>
    <xf numFmtId="169" fontId="66" fillId="0" borderId="19" xfId="1" applyNumberFormat="1" applyFont="1" applyBorder="1" applyAlignment="1">
      <alignment horizontal="center" vertical="center" wrapText="1"/>
    </xf>
    <xf numFmtId="0" fontId="53" fillId="0" borderId="18" xfId="1" applyFont="1" applyBorder="1" applyAlignment="1">
      <alignment horizontal="left" vertical="top" wrapText="1"/>
    </xf>
    <xf numFmtId="2" fontId="68" fillId="0" borderId="18" xfId="1" applyNumberFormat="1" applyFont="1" applyBorder="1" applyAlignment="1">
      <alignment horizontal="center" vertical="center"/>
    </xf>
    <xf numFmtId="0" fontId="55" fillId="0" borderId="18" xfId="1" applyBorder="1" applyAlignment="1">
      <alignment horizontal="center" vertical="center"/>
    </xf>
    <xf numFmtId="2" fontId="66" fillId="0" borderId="18" xfId="1" applyNumberFormat="1" applyFont="1" applyBorder="1" applyAlignment="1">
      <alignment horizontal="center" vertical="center"/>
    </xf>
    <xf numFmtId="0" fontId="69" fillId="0" borderId="0" xfId="1" applyFont="1" applyAlignment="1">
      <alignment vertical="center"/>
    </xf>
    <xf numFmtId="0" fontId="68" fillId="0" borderId="18" xfId="1" applyFont="1" applyBorder="1" applyAlignment="1">
      <alignment horizontal="right" vertical="top"/>
    </xf>
    <xf numFmtId="0" fontId="67" fillId="0" borderId="18" xfId="1" applyFont="1" applyBorder="1" applyAlignment="1">
      <alignment horizontal="justify" vertical="top"/>
    </xf>
    <xf numFmtId="0" fontId="66" fillId="0" borderId="18" xfId="1" applyFont="1" applyBorder="1" applyAlignment="1">
      <alignment horizontal="center" vertical="center"/>
    </xf>
    <xf numFmtId="1" fontId="47" fillId="0" borderId="33" xfId="1" applyNumberFormat="1" applyFont="1" applyBorder="1" applyAlignment="1">
      <alignment horizontal="left" vertical="center"/>
    </xf>
    <xf numFmtId="0" fontId="67" fillId="0" borderId="34" xfId="1" applyFont="1" applyBorder="1" applyAlignment="1">
      <alignment horizontal="left" vertical="top" wrapText="1"/>
    </xf>
    <xf numFmtId="0" fontId="47" fillId="0" borderId="34" xfId="1" applyFont="1" applyBorder="1" applyAlignment="1">
      <alignment horizontal="center" vertical="center" wrapText="1"/>
    </xf>
    <xf numFmtId="1" fontId="68" fillId="0" borderId="34" xfId="1" applyNumberFormat="1" applyFont="1" applyBorder="1" applyAlignment="1">
      <alignment horizontal="center" vertical="center"/>
    </xf>
    <xf numFmtId="169" fontId="68" fillId="0" borderId="34" xfId="1" applyNumberFormat="1" applyFont="1" applyBorder="1" applyAlignment="1">
      <alignment horizontal="center" vertical="center" wrapText="1"/>
    </xf>
    <xf numFmtId="169" fontId="68" fillId="0" borderId="35" xfId="1" applyNumberFormat="1" applyFont="1" applyBorder="1" applyAlignment="1">
      <alignment horizontal="center" vertical="center" wrapText="1"/>
    </xf>
    <xf numFmtId="0" fontId="70" fillId="0" borderId="0" xfId="1" applyFont="1" applyAlignment="1">
      <alignment horizontal="left" vertical="center"/>
    </xf>
    <xf numFmtId="0" fontId="47" fillId="0" borderId="0" xfId="1" applyFont="1" applyAlignment="1">
      <alignment horizontal="left" vertical="center"/>
    </xf>
    <xf numFmtId="0" fontId="70" fillId="0" borderId="0" xfId="1" applyFont="1" applyAlignment="1">
      <alignment horizontal="left" vertical="center" indent="1"/>
    </xf>
    <xf numFmtId="0" fontId="68" fillId="0" borderId="0" xfId="1" applyFont="1" applyAlignment="1">
      <alignment vertical="center"/>
    </xf>
    <xf numFmtId="0" fontId="47" fillId="0" borderId="0" xfId="1" applyFont="1" applyAlignment="1">
      <alignment horizontal="left" vertical="center" indent="1"/>
    </xf>
    <xf numFmtId="0" fontId="63" fillId="0" borderId="0" xfId="1" applyFont="1" applyAlignment="1">
      <alignment horizontal="center" vertical="center"/>
    </xf>
    <xf numFmtId="0" fontId="56" fillId="0" borderId="0" xfId="63" applyFont="1" applyAlignment="1">
      <alignment vertical="center"/>
    </xf>
    <xf numFmtId="0" fontId="58" fillId="0" borderId="0" xfId="63" applyFont="1" applyAlignment="1">
      <alignment vertical="center"/>
    </xf>
    <xf numFmtId="0" fontId="59" fillId="0" borderId="0" xfId="63" applyFont="1" applyAlignment="1">
      <alignment horizontal="left" vertical="center"/>
    </xf>
    <xf numFmtId="0" fontId="58" fillId="0" borderId="0" xfId="63" applyFont="1" applyAlignment="1">
      <alignment horizontal="left" vertical="center"/>
    </xf>
    <xf numFmtId="2" fontId="58" fillId="0" borderId="0" xfId="63" applyNumberFormat="1" applyFont="1" applyAlignment="1">
      <alignment horizontal="left" vertical="center"/>
    </xf>
    <xf numFmtId="0" fontId="58" fillId="0" borderId="27" xfId="63" applyFont="1" applyBorder="1" applyAlignment="1">
      <alignment horizontal="right" vertical="center" wrapText="1" indent="1"/>
    </xf>
    <xf numFmtId="0" fontId="56" fillId="0" borderId="0" xfId="63" applyFont="1" applyAlignment="1">
      <alignment vertical="center" wrapText="1"/>
    </xf>
    <xf numFmtId="0" fontId="56" fillId="0" borderId="18" xfId="63" applyFont="1" applyBorder="1" applyAlignment="1">
      <alignment horizontal="left" vertical="top"/>
    </xf>
    <xf numFmtId="0" fontId="56" fillId="0" borderId="17" xfId="63" applyFont="1" applyBorder="1" applyAlignment="1">
      <alignment horizontal="left" vertical="top"/>
    </xf>
    <xf numFmtId="0" fontId="56" fillId="0" borderId="18" xfId="63" applyFont="1" applyBorder="1" applyAlignment="1">
      <alignment horizontal="center" vertical="center" wrapText="1"/>
    </xf>
    <xf numFmtId="0" fontId="56" fillId="0" borderId="18" xfId="63" applyFont="1" applyBorder="1" applyAlignment="1">
      <alignment horizontal="center" vertical="center"/>
    </xf>
    <xf numFmtId="0" fontId="56" fillId="0" borderId="19" xfId="63" applyFont="1" applyBorder="1" applyAlignment="1">
      <alignment horizontal="center" vertical="center"/>
    </xf>
    <xf numFmtId="1" fontId="56" fillId="0" borderId="17" xfId="63" applyNumberFormat="1" applyFont="1" applyBorder="1" applyAlignment="1">
      <alignment horizontal="left" vertical="center"/>
    </xf>
    <xf numFmtId="0" fontId="56" fillId="0" borderId="18" xfId="63" applyFont="1" applyBorder="1" applyAlignment="1">
      <alignment horizontal="justify" vertical="top"/>
    </xf>
    <xf numFmtId="0" fontId="56" fillId="0" borderId="18" xfId="63" applyFont="1" applyBorder="1" applyAlignment="1">
      <alignment horizontal="left" vertical="center" wrapText="1"/>
    </xf>
    <xf numFmtId="176" fontId="56" fillId="0" borderId="31" xfId="63" applyNumberFormat="1" applyFont="1" applyBorder="1" applyAlignment="1">
      <alignment vertical="center"/>
    </xf>
    <xf numFmtId="176" fontId="56" fillId="0" borderId="18" xfId="63" applyNumberFormat="1" applyFont="1" applyBorder="1" applyAlignment="1">
      <alignment vertical="center"/>
    </xf>
    <xf numFmtId="0" fontId="56" fillId="0" borderId="18" xfId="63" applyFont="1" applyBorder="1" applyAlignment="1">
      <alignment horizontal="left" vertical="top" wrapText="1"/>
    </xf>
    <xf numFmtId="1" fontId="58" fillId="0" borderId="17" xfId="63" applyNumberFormat="1" applyFont="1" applyBorder="1" applyAlignment="1">
      <alignment horizontal="left" vertical="center"/>
    </xf>
    <xf numFmtId="0" fontId="58" fillId="0" borderId="18" xfId="63" applyFont="1" applyBorder="1" applyAlignment="1">
      <alignment horizontal="left" vertical="top" wrapText="1"/>
    </xf>
    <xf numFmtId="0" fontId="58" fillId="0" borderId="18" xfId="63" applyFont="1" applyBorder="1" applyAlignment="1">
      <alignment horizontal="left" vertical="center" wrapText="1"/>
    </xf>
    <xf numFmtId="0" fontId="58" fillId="3" borderId="0" xfId="1" applyFont="1" applyFill="1" applyAlignment="1">
      <alignment vertical="center"/>
    </xf>
    <xf numFmtId="1" fontId="66" fillId="0" borderId="18" xfId="1" applyNumberFormat="1" applyFont="1" applyBorder="1" applyAlignment="1">
      <alignment horizontal="center" vertical="justify" wrapText="1"/>
    </xf>
    <xf numFmtId="0" fontId="58" fillId="3" borderId="0" xfId="63" applyFont="1" applyFill="1" applyAlignment="1">
      <alignment vertical="center"/>
    </xf>
    <xf numFmtId="1" fontId="56" fillId="0" borderId="33" xfId="63" applyNumberFormat="1" applyFont="1" applyBorder="1" applyAlignment="1">
      <alignment horizontal="left" vertical="center"/>
    </xf>
    <xf numFmtId="0" fontId="56" fillId="0" borderId="34" xfId="63" applyFont="1" applyBorder="1" applyAlignment="1">
      <alignment horizontal="left" vertical="top" wrapText="1"/>
    </xf>
    <xf numFmtId="0" fontId="56" fillId="0" borderId="34" xfId="63" applyFont="1" applyBorder="1" applyAlignment="1">
      <alignment horizontal="center" vertical="center" wrapText="1"/>
    </xf>
    <xf numFmtId="0" fontId="56" fillId="0" borderId="0" xfId="1" applyFont="1" applyAlignment="1">
      <alignment vertical="center"/>
    </xf>
    <xf numFmtId="0" fontId="56" fillId="0" borderId="0" xfId="63" applyFont="1" applyAlignment="1">
      <alignment horizontal="left" vertical="center" indent="1"/>
    </xf>
    <xf numFmtId="0" fontId="56" fillId="0" borderId="0" xfId="63" applyFont="1" applyAlignment="1">
      <alignment horizontal="left" vertical="center"/>
    </xf>
    <xf numFmtId="0" fontId="58" fillId="0" borderId="0" xfId="63" applyFont="1" applyAlignment="1">
      <alignment horizontal="center" vertical="center"/>
    </xf>
    <xf numFmtId="43" fontId="56" fillId="0" borderId="0" xfId="10" applyFont="1" applyAlignment="1">
      <alignment vertical="center"/>
    </xf>
    <xf numFmtId="0" fontId="58" fillId="0" borderId="0" xfId="1" applyFont="1" applyAlignment="1">
      <alignment horizontal="left" vertical="center"/>
    </xf>
    <xf numFmtId="0" fontId="58" fillId="0" borderId="12" xfId="1" applyFont="1" applyBorder="1" applyAlignment="1">
      <alignment horizontal="left" vertical="center"/>
    </xf>
    <xf numFmtId="0" fontId="58" fillId="0" borderId="13" xfId="1" applyFont="1" applyBorder="1" applyAlignment="1">
      <alignment horizontal="left" vertical="center"/>
    </xf>
    <xf numFmtId="0" fontId="58" fillId="0" borderId="14" xfId="1" applyFont="1" applyBorder="1" applyAlignment="1">
      <alignment horizontal="left" vertical="center"/>
    </xf>
    <xf numFmtId="43" fontId="58" fillId="0" borderId="0" xfId="10" applyFont="1" applyAlignment="1">
      <alignment horizontal="left" vertical="center"/>
    </xf>
    <xf numFmtId="0" fontId="58" fillId="0" borderId="0" xfId="1" applyFont="1" applyAlignment="1">
      <alignment horizontal="left" vertical="center" indent="8"/>
    </xf>
    <xf numFmtId="43" fontId="58" fillId="0" borderId="0" xfId="10" applyFont="1" applyAlignment="1">
      <alignment horizontal="left" vertical="center" indent="8"/>
    </xf>
    <xf numFmtId="0" fontId="59" fillId="0" borderId="0" xfId="1" applyFont="1" applyAlignment="1">
      <alignment horizontal="left" vertical="center"/>
    </xf>
    <xf numFmtId="43" fontId="59" fillId="0" borderId="0" xfId="10" applyFont="1" applyAlignment="1">
      <alignment horizontal="left" vertical="center"/>
    </xf>
    <xf numFmtId="0" fontId="58" fillId="0" borderId="15" xfId="1" applyFont="1" applyBorder="1" applyAlignment="1">
      <alignment horizontal="left" vertical="center"/>
    </xf>
    <xf numFmtId="0" fontId="58" fillId="0" borderId="16" xfId="1" applyFont="1" applyBorder="1" applyAlignment="1">
      <alignment horizontal="left" vertical="center"/>
    </xf>
    <xf numFmtId="0" fontId="56" fillId="0" borderId="0" xfId="1" applyFont="1" applyAlignment="1">
      <alignment horizontal="left" vertical="center"/>
    </xf>
    <xf numFmtId="0" fontId="56" fillId="0" borderId="15" xfId="1" applyFont="1" applyBorder="1" applyAlignment="1">
      <alignment horizontal="left" vertical="center"/>
    </xf>
    <xf numFmtId="0" fontId="56" fillId="0" borderId="16" xfId="1" applyFont="1" applyBorder="1" applyAlignment="1">
      <alignment horizontal="left" vertical="center"/>
    </xf>
    <xf numFmtId="43" fontId="56" fillId="0" borderId="0" xfId="10" applyFont="1" applyAlignment="1">
      <alignment horizontal="left" vertical="center"/>
    </xf>
    <xf numFmtId="0" fontId="56" fillId="0" borderId="23" xfId="1" applyFont="1" applyBorder="1" applyAlignment="1">
      <alignment vertical="center"/>
    </xf>
    <xf numFmtId="0" fontId="56" fillId="0" borderId="24" xfId="1" applyFont="1" applyBorder="1" applyAlignment="1">
      <alignment vertical="center"/>
    </xf>
    <xf numFmtId="0" fontId="56" fillId="0" borderId="0" xfId="1" applyFont="1" applyAlignment="1">
      <alignment vertical="center" wrapText="1"/>
    </xf>
    <xf numFmtId="0" fontId="58" fillId="0" borderId="18" xfId="62" applyFont="1" applyBorder="1" applyAlignment="1">
      <alignment horizontal="center" vertical="center" wrapText="1"/>
    </xf>
    <xf numFmtId="43" fontId="56" fillId="0" borderId="0" xfId="10" applyFont="1" applyAlignment="1">
      <alignment vertical="center" wrapText="1"/>
    </xf>
    <xf numFmtId="0" fontId="56" fillId="0" borderId="0" xfId="1" applyFont="1" applyAlignment="1">
      <alignment vertical="top" wrapText="1"/>
    </xf>
    <xf numFmtId="43" fontId="56" fillId="0" borderId="0" xfId="1" applyNumberFormat="1" applyFont="1" applyAlignment="1">
      <alignment vertical="top" wrapText="1"/>
    </xf>
    <xf numFmtId="0" fontId="56" fillId="0" borderId="15" xfId="1" applyFont="1" applyBorder="1" applyAlignment="1">
      <alignment vertical="center"/>
    </xf>
    <xf numFmtId="0" fontId="56" fillId="0" borderId="16" xfId="1" applyFont="1" applyBorder="1" applyAlignment="1">
      <alignment vertical="center"/>
    </xf>
    <xf numFmtId="2" fontId="56" fillId="0" borderId="0" xfId="1" applyNumberFormat="1" applyFont="1" applyAlignment="1">
      <alignment vertical="center"/>
    </xf>
    <xf numFmtId="0" fontId="58" fillId="0" borderId="0" xfId="62" applyFont="1"/>
    <xf numFmtId="0" fontId="73" fillId="0" borderId="0" xfId="0" applyFont="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76" fillId="0" borderId="0" xfId="0" applyFont="1" applyAlignment="1">
      <alignment horizontal="left" vertical="top"/>
    </xf>
    <xf numFmtId="0" fontId="77" fillId="0" borderId="18" xfId="0" applyFont="1" applyBorder="1" applyAlignment="1">
      <alignment horizontal="center" vertical="center" wrapText="1"/>
    </xf>
    <xf numFmtId="0" fontId="16" fillId="0" borderId="0" xfId="121" applyAlignment="1">
      <alignment wrapText="1"/>
    </xf>
    <xf numFmtId="0" fontId="16" fillId="0" borderId="24" xfId="121" applyBorder="1" applyAlignment="1">
      <alignment wrapText="1"/>
    </xf>
    <xf numFmtId="0" fontId="79" fillId="0" borderId="0" xfId="121" applyFont="1" applyAlignment="1">
      <alignment vertical="center" wrapText="1"/>
    </xf>
    <xf numFmtId="0" fontId="81" fillId="0" borderId="0" xfId="121" applyFont="1" applyAlignment="1">
      <alignment vertical="center" wrapText="1"/>
    </xf>
    <xf numFmtId="0" fontId="16" fillId="0" borderId="12" xfId="121" applyBorder="1" applyAlignment="1">
      <alignment wrapText="1"/>
    </xf>
    <xf numFmtId="0" fontId="16" fillId="0" borderId="13" xfId="121" applyBorder="1" applyAlignment="1">
      <alignment wrapText="1"/>
    </xf>
    <xf numFmtId="0" fontId="16" fillId="0" borderId="15" xfId="121" applyBorder="1" applyAlignment="1">
      <alignment wrapText="1"/>
    </xf>
    <xf numFmtId="0" fontId="16" fillId="0" borderId="16" xfId="121" applyBorder="1" applyAlignment="1">
      <alignment wrapText="1"/>
    </xf>
    <xf numFmtId="0" fontId="16" fillId="0" borderId="23" xfId="121" applyBorder="1" applyAlignment="1">
      <alignment wrapText="1"/>
    </xf>
    <xf numFmtId="0" fontId="86" fillId="0" borderId="0" xfId="121" applyFont="1" applyAlignment="1">
      <alignment horizontal="center" vertical="center" wrapText="1"/>
    </xf>
    <xf numFmtId="3" fontId="81" fillId="0" borderId="18" xfId="121" applyNumberFormat="1" applyFont="1" applyBorder="1" applyAlignment="1">
      <alignment horizontal="right" vertical="center" wrapText="1"/>
    </xf>
    <xf numFmtId="3" fontId="79" fillId="0" borderId="18" xfId="121" applyNumberFormat="1" applyFont="1" applyBorder="1" applyAlignment="1">
      <alignment horizontal="right" vertical="center" wrapText="1"/>
    </xf>
    <xf numFmtId="0" fontId="78" fillId="0" borderId="18" xfId="121" applyFont="1" applyBorder="1" applyAlignment="1">
      <alignment vertical="center" wrapText="1"/>
    </xf>
    <xf numFmtId="4" fontId="79" fillId="0" borderId="18" xfId="121" applyNumberFormat="1" applyFont="1" applyBorder="1" applyAlignment="1">
      <alignment horizontal="right" vertical="center" wrapText="1"/>
    </xf>
    <xf numFmtId="0" fontId="80" fillId="0" borderId="0" xfId="121" applyFont="1" applyAlignment="1">
      <alignment vertical="center" wrapText="1"/>
    </xf>
    <xf numFmtId="0" fontId="85" fillId="0" borderId="15" xfId="121" applyFont="1" applyBorder="1" applyAlignment="1">
      <alignment horizontal="center" vertical="center" wrapText="1"/>
    </xf>
    <xf numFmtId="0" fontId="86" fillId="0" borderId="16" xfId="121" applyFont="1" applyBorder="1" applyAlignment="1">
      <alignment horizontal="center" vertical="center" wrapText="1"/>
    </xf>
    <xf numFmtId="0" fontId="79" fillId="0" borderId="15" xfId="121" applyFont="1" applyBorder="1" applyAlignment="1">
      <alignment vertical="center" wrapText="1"/>
    </xf>
    <xf numFmtId="0" fontId="79" fillId="0" borderId="17" xfId="121" applyFont="1" applyBorder="1" applyAlignment="1">
      <alignment horizontal="center" vertical="center" wrapText="1"/>
    </xf>
    <xf numFmtId="3" fontId="79" fillId="0" borderId="19" xfId="121" applyNumberFormat="1" applyFont="1" applyBorder="1" applyAlignment="1">
      <alignment horizontal="center" vertical="center" wrapText="1"/>
    </xf>
    <xf numFmtId="0" fontId="79" fillId="0" borderId="15" xfId="121" applyFont="1" applyBorder="1" applyAlignment="1">
      <alignment horizontal="center" vertical="center" wrapText="1"/>
    </xf>
    <xf numFmtId="0" fontId="16" fillId="0" borderId="25" xfId="121" applyBorder="1" applyAlignment="1">
      <alignment wrapText="1"/>
    </xf>
    <xf numFmtId="0" fontId="81" fillId="0" borderId="0" xfId="121" applyFont="1" applyAlignment="1">
      <alignment horizontal="right" vertical="center"/>
    </xf>
    <xf numFmtId="0" fontId="81" fillId="0" borderId="16" xfId="121" applyFont="1" applyBorder="1" applyAlignment="1">
      <alignment horizontal="right" vertical="center"/>
    </xf>
    <xf numFmtId="0" fontId="75" fillId="0" borderId="14" xfId="0" applyFont="1" applyBorder="1" applyAlignment="1">
      <alignment horizontal="left" vertical="top"/>
    </xf>
    <xf numFmtId="0" fontId="79" fillId="0" borderId="19" xfId="121" applyFont="1" applyBorder="1" applyAlignment="1">
      <alignment horizontal="center" vertical="center" wrapText="1"/>
    </xf>
    <xf numFmtId="0" fontId="90" fillId="0" borderId="16" xfId="0" applyFont="1" applyBorder="1" applyAlignment="1">
      <alignment horizontal="left" vertical="top"/>
    </xf>
    <xf numFmtId="41" fontId="79" fillId="0" borderId="17" xfId="121" applyNumberFormat="1" applyFont="1" applyBorder="1" applyAlignment="1">
      <alignment horizontal="center" vertical="center" wrapText="1"/>
    </xf>
    <xf numFmtId="41" fontId="79" fillId="0" borderId="19" xfId="121" applyNumberFormat="1" applyFont="1" applyBorder="1" applyAlignment="1">
      <alignment horizontal="center" vertical="center" wrapText="1"/>
    </xf>
    <xf numFmtId="0" fontId="79" fillId="0" borderId="18" xfId="121" applyFont="1" applyBorder="1" applyAlignment="1">
      <alignment vertical="center"/>
    </xf>
    <xf numFmtId="0" fontId="79" fillId="0" borderId="19" xfId="121" applyFont="1" applyBorder="1" applyAlignment="1">
      <alignment vertical="center"/>
    </xf>
    <xf numFmtId="0" fontId="79" fillId="0" borderId="30" xfId="121" applyFont="1" applyBorder="1" applyAlignment="1">
      <alignment horizontal="left" vertical="center"/>
    </xf>
    <xf numFmtId="0" fontId="79" fillId="0" borderId="38" xfId="121" applyFont="1" applyBorder="1" applyAlignment="1">
      <alignment horizontal="left" vertical="center"/>
    </xf>
    <xf numFmtId="0" fontId="79" fillId="0" borderId="39" xfId="121" applyFont="1" applyBorder="1" applyAlignment="1">
      <alignment horizontal="left" vertical="center"/>
    </xf>
    <xf numFmtId="0" fontId="78" fillId="0" borderId="30" xfId="121" applyFont="1" applyBorder="1" applyAlignment="1">
      <alignment horizontal="left" vertical="center"/>
    </xf>
    <xf numFmtId="0" fontId="78" fillId="0" borderId="38" xfId="121" applyFont="1" applyBorder="1" applyAlignment="1">
      <alignment horizontal="left" vertical="center"/>
    </xf>
    <xf numFmtId="0" fontId="78" fillId="0" borderId="39" xfId="121" applyFont="1" applyBorder="1" applyAlignment="1">
      <alignment horizontal="left" vertical="center"/>
    </xf>
    <xf numFmtId="0" fontId="89" fillId="0" borderId="0" xfId="121" applyFont="1" applyAlignment="1">
      <alignment horizontal="left" vertical="center"/>
    </xf>
    <xf numFmtId="0" fontId="0" fillId="0" borderId="53" xfId="0" applyBorder="1" applyAlignment="1">
      <alignment horizontal="left" vertical="top"/>
    </xf>
    <xf numFmtId="0" fontId="0" fillId="0" borderId="54" xfId="0" applyBorder="1" applyAlignment="1">
      <alignment horizontal="left" vertical="top"/>
    </xf>
    <xf numFmtId="0" fontId="0" fillId="0" borderId="55" xfId="0" applyBorder="1" applyAlignment="1">
      <alignment horizontal="left" wrapText="1"/>
    </xf>
    <xf numFmtId="0" fontId="0" fillId="0" borderId="56" xfId="0" applyBorder="1" applyAlignment="1">
      <alignment horizontal="left" wrapText="1"/>
    </xf>
    <xf numFmtId="0" fontId="0" fillId="0" borderId="59" xfId="0" applyBorder="1" applyAlignment="1">
      <alignment horizontal="left" vertical="top"/>
    </xf>
    <xf numFmtId="0" fontId="0" fillId="0" borderId="47" xfId="0" applyBorder="1" applyAlignment="1">
      <alignment horizontal="left" vertical="top"/>
    </xf>
    <xf numFmtId="0" fontId="0" fillId="0" borderId="60" xfId="0" applyBorder="1" applyAlignment="1">
      <alignment horizontal="left" vertical="top"/>
    </xf>
    <xf numFmtId="0" fontId="0" fillId="0" borderId="2" xfId="0" applyBorder="1" applyAlignment="1">
      <alignment horizontal="left" wrapText="1"/>
    </xf>
    <xf numFmtId="0" fontId="0" fillId="0" borderId="2" xfId="0" applyBorder="1" applyAlignment="1">
      <alignment horizontal="left" vertical="top" wrapText="1"/>
    </xf>
    <xf numFmtId="0" fontId="36" fillId="0" borderId="2" xfId="0" applyFont="1" applyBorder="1" applyAlignment="1">
      <alignment horizontal="left" vertical="top" wrapText="1"/>
    </xf>
    <xf numFmtId="1" fontId="39" fillId="0" borderId="2" xfId="0" applyNumberFormat="1" applyFont="1" applyBorder="1" applyAlignment="1">
      <alignment horizontal="center" vertical="top" shrinkToFit="1"/>
    </xf>
    <xf numFmtId="0" fontId="0" fillId="0" borderId="18" xfId="0" applyBorder="1" applyAlignment="1">
      <alignment horizontal="left" vertical="top"/>
    </xf>
    <xf numFmtId="0" fontId="0" fillId="0" borderId="1" xfId="0" applyBorder="1" applyAlignment="1">
      <alignment horizontal="center" vertical="center" wrapText="1"/>
    </xf>
    <xf numFmtId="1" fontId="39" fillId="0" borderId="2" xfId="0" applyNumberFormat="1" applyFont="1" applyBorder="1" applyAlignment="1">
      <alignment horizontal="left" vertical="top" wrapText="1" shrinkToFit="1"/>
    </xf>
    <xf numFmtId="0" fontId="90" fillId="0" borderId="1" xfId="0" applyFont="1" applyBorder="1" applyAlignment="1">
      <alignment horizontal="center" vertical="center" wrapText="1"/>
    </xf>
    <xf numFmtId="0" fontId="77" fillId="0" borderId="0" xfId="0" applyFont="1" applyAlignment="1">
      <alignment horizontal="left" vertical="top"/>
    </xf>
    <xf numFmtId="0" fontId="73" fillId="0" borderId="2" xfId="0" applyFont="1" applyBorder="1" applyAlignment="1">
      <alignment horizontal="left" wrapText="1"/>
    </xf>
    <xf numFmtId="0" fontId="0" fillId="0" borderId="50" xfId="0" applyBorder="1" applyAlignment="1">
      <alignment horizontal="left" vertical="top"/>
    </xf>
    <xf numFmtId="0" fontId="0" fillId="0" borderId="51" xfId="0" applyBorder="1" applyAlignment="1">
      <alignment horizontal="left" vertical="top"/>
    </xf>
    <xf numFmtId="0" fontId="36" fillId="0" borderId="51" xfId="0" applyFont="1" applyBorder="1" applyAlignment="1">
      <alignment horizontal="left" vertical="top" wrapText="1" indent="3"/>
    </xf>
    <xf numFmtId="0" fontId="36" fillId="0" borderId="52" xfId="0" applyFont="1" applyBorder="1" applyAlignment="1">
      <alignment horizontal="center" vertical="center"/>
    </xf>
    <xf numFmtId="0" fontId="37" fillId="0" borderId="54" xfId="0" applyFont="1" applyBorder="1" applyAlignment="1">
      <alignment horizontal="center" vertical="center"/>
    </xf>
    <xf numFmtId="0" fontId="52" fillId="0" borderId="53" xfId="0" applyFont="1" applyBorder="1" applyAlignment="1">
      <alignment horizontal="left" vertical="top"/>
    </xf>
    <xf numFmtId="0" fontId="38" fillId="0" borderId="53" xfId="0" applyFont="1" applyBorder="1" applyAlignment="1">
      <alignment horizontal="left" vertical="top"/>
    </xf>
    <xf numFmtId="0" fontId="0" fillId="0" borderId="55" xfId="0" applyBorder="1" applyAlignment="1">
      <alignment horizontal="left" vertical="center" wrapText="1"/>
    </xf>
    <xf numFmtId="0" fontId="36" fillId="0" borderId="56" xfId="0" applyFont="1" applyBorder="1" applyAlignment="1">
      <alignment horizontal="left" vertical="top" wrapText="1" indent="1"/>
    </xf>
    <xf numFmtId="0" fontId="0" fillId="0" borderId="56" xfId="0" applyBorder="1" applyAlignment="1">
      <alignment horizontal="center" vertical="top" wrapText="1"/>
    </xf>
    <xf numFmtId="1" fontId="40" fillId="0" borderId="55" xfId="0" applyNumberFormat="1" applyFont="1" applyBorder="1" applyAlignment="1">
      <alignment horizontal="right" vertical="top" shrinkToFit="1"/>
    </xf>
    <xf numFmtId="0" fontId="0" fillId="0" borderId="56" xfId="0" applyBorder="1" applyAlignment="1">
      <alignment horizontal="left" vertical="center" wrapText="1"/>
    </xf>
    <xf numFmtId="0" fontId="41" fillId="0" borderId="53" xfId="0" applyFont="1" applyBorder="1" applyAlignment="1">
      <alignment horizontal="left" vertical="top"/>
    </xf>
    <xf numFmtId="0" fontId="36" fillId="0" borderId="54" xfId="0" applyFont="1" applyBorder="1" applyAlignment="1">
      <alignment horizontal="left" vertical="top"/>
    </xf>
    <xf numFmtId="0" fontId="56" fillId="0" borderId="18" xfId="2" applyFont="1" applyBorder="1" applyAlignment="1">
      <alignment horizontal="center" vertical="center"/>
    </xf>
    <xf numFmtId="2" fontId="58" fillId="0" borderId="18" xfId="2" applyNumberFormat="1" applyFont="1" applyBorder="1" applyAlignment="1">
      <alignment horizontal="center" vertical="center"/>
    </xf>
    <xf numFmtId="0" fontId="56" fillId="0" borderId="18" xfId="1" applyFont="1" applyBorder="1" applyAlignment="1">
      <alignment horizontal="center" vertical="center"/>
    </xf>
    <xf numFmtId="0" fontId="0" fillId="0" borderId="0" xfId="0" applyAlignment="1">
      <alignment horizontal="center" vertical="top"/>
    </xf>
    <xf numFmtId="0" fontId="0" fillId="0" borderId="0" xfId="0" applyAlignment="1">
      <alignment horizontal="center" vertical="center"/>
    </xf>
    <xf numFmtId="0" fontId="90" fillId="0" borderId="0" xfId="0" applyFont="1" applyAlignment="1">
      <alignment horizontal="left" vertical="top"/>
    </xf>
    <xf numFmtId="0" fontId="73" fillId="0" borderId="15" xfId="0" applyFont="1" applyBorder="1" applyAlignment="1">
      <alignment horizontal="left" vertical="top"/>
    </xf>
    <xf numFmtId="0" fontId="74" fillId="0" borderId="18" xfId="0" applyFont="1" applyBorder="1" applyAlignment="1">
      <alignment horizontal="center" vertical="center" wrapText="1"/>
    </xf>
    <xf numFmtId="0" fontId="76" fillId="0" borderId="18" xfId="0" applyFont="1" applyBorder="1" applyAlignment="1">
      <alignment horizontal="left" vertical="top"/>
    </xf>
    <xf numFmtId="0" fontId="76" fillId="0" borderId="18" xfId="0" applyFont="1" applyBorder="1" applyAlignment="1">
      <alignment horizontal="right" vertical="top"/>
    </xf>
    <xf numFmtId="0" fontId="81" fillId="5" borderId="63" xfId="0" applyFont="1" applyFill="1" applyBorder="1" applyAlignment="1">
      <alignment horizontal="center" vertical="center" wrapText="1"/>
    </xf>
    <xf numFmtId="0" fontId="81" fillId="5" borderId="16" xfId="0" applyFont="1" applyFill="1" applyBorder="1" applyAlignment="1">
      <alignment horizontal="center" vertical="center" wrapText="1"/>
    </xf>
    <xf numFmtId="0" fontId="81" fillId="5" borderId="65" xfId="0" applyFont="1" applyFill="1" applyBorder="1" applyAlignment="1">
      <alignment horizontal="center" vertical="center" wrapText="1"/>
    </xf>
    <xf numFmtId="0" fontId="81" fillId="5" borderId="25" xfId="0" applyFont="1" applyFill="1" applyBorder="1" applyAlignment="1">
      <alignment horizontal="center" vertical="center" wrapText="1"/>
    </xf>
    <xf numFmtId="0" fontId="81" fillId="0" borderId="65" xfId="0" applyFont="1" applyBorder="1" applyAlignment="1">
      <alignment horizontal="center" vertical="center" wrapText="1"/>
    </xf>
    <xf numFmtId="0" fontId="81" fillId="0" borderId="25" xfId="0" applyFont="1" applyBorder="1" applyAlignment="1">
      <alignment horizontal="center" vertical="center" wrapText="1"/>
    </xf>
    <xf numFmtId="0" fontId="79" fillId="0" borderId="25" xfId="0" applyFont="1" applyBorder="1" applyAlignment="1">
      <alignment vertical="center" wrapText="1"/>
    </xf>
    <xf numFmtId="4" fontId="81" fillId="0" borderId="25" xfId="0" applyNumberFormat="1" applyFont="1" applyBorder="1" applyAlignment="1">
      <alignment horizontal="right" vertical="center" wrapText="1"/>
    </xf>
    <xf numFmtId="0" fontId="81" fillId="0" borderId="25" xfId="0" applyFont="1" applyBorder="1" applyAlignment="1">
      <alignment vertical="center" wrapText="1"/>
    </xf>
    <xf numFmtId="0" fontId="81" fillId="0" borderId="25" xfId="0" applyFont="1" applyBorder="1" applyAlignment="1">
      <alignment horizontal="right" vertical="center" wrapText="1"/>
    </xf>
    <xf numFmtId="10" fontId="79" fillId="0" borderId="25" xfId="0" applyNumberFormat="1" applyFont="1" applyBorder="1" applyAlignment="1">
      <alignment horizontal="right" vertical="center" wrapText="1"/>
    </xf>
    <xf numFmtId="2" fontId="81" fillId="0" borderId="25" xfId="0" applyNumberFormat="1" applyFont="1" applyBorder="1" applyAlignment="1">
      <alignment horizontal="right" vertical="center" wrapText="1"/>
    </xf>
    <xf numFmtId="0" fontId="81" fillId="0" borderId="65" xfId="0" applyFont="1" applyBorder="1" applyAlignment="1">
      <alignment vertical="center" wrapText="1"/>
    </xf>
    <xf numFmtId="0" fontId="80" fillId="0" borderId="25" xfId="0" applyFont="1" applyBorder="1" applyAlignment="1">
      <alignment horizontal="right" vertical="center" wrapText="1"/>
    </xf>
    <xf numFmtId="4" fontId="80" fillId="0" borderId="25" xfId="0" applyNumberFormat="1" applyFont="1" applyBorder="1" applyAlignment="1">
      <alignment horizontal="right" vertical="center" wrapText="1"/>
    </xf>
    <xf numFmtId="166" fontId="81" fillId="0" borderId="25" xfId="0" applyNumberFormat="1" applyFont="1" applyBorder="1" applyAlignment="1">
      <alignment horizontal="right" vertical="center" wrapText="1"/>
    </xf>
    <xf numFmtId="0" fontId="15" fillId="0" borderId="0" xfId="123"/>
    <xf numFmtId="0" fontId="97" fillId="5" borderId="16" xfId="123" applyFont="1" applyFill="1" applyBorder="1" applyAlignment="1">
      <alignment horizontal="center" vertical="center" wrapText="1"/>
    </xf>
    <xf numFmtId="0" fontId="15" fillId="5" borderId="25" xfId="123" applyFill="1" applyBorder="1" applyAlignment="1">
      <alignment vertical="center" wrapText="1"/>
    </xf>
    <xf numFmtId="0" fontId="97" fillId="5" borderId="25" xfId="123" applyFont="1" applyFill="1" applyBorder="1" applyAlignment="1">
      <alignment horizontal="center" vertical="center" wrapText="1"/>
    </xf>
    <xf numFmtId="0" fontId="22" fillId="0" borderId="65" xfId="123" applyFont="1" applyBorder="1" applyAlignment="1">
      <alignment horizontal="right" vertical="center" wrapText="1"/>
    </xf>
    <xf numFmtId="0" fontId="22" fillId="0" borderId="25" xfId="123" applyFont="1" applyBorder="1" applyAlignment="1">
      <alignment vertical="center" wrapText="1"/>
    </xf>
    <xf numFmtId="0" fontId="22" fillId="0" borderId="25" xfId="123" applyFont="1" applyBorder="1" applyAlignment="1">
      <alignment horizontal="right" vertical="center" wrapText="1"/>
    </xf>
    <xf numFmtId="0" fontId="76" fillId="0" borderId="0" xfId="0" applyFont="1" applyAlignment="1">
      <alignment horizontal="left" vertical="top" wrapText="1"/>
    </xf>
    <xf numFmtId="0" fontId="76" fillId="0" borderId="18" xfId="0" applyFont="1" applyBorder="1" applyAlignment="1">
      <alignment horizontal="left" vertical="top" wrapText="1"/>
    </xf>
    <xf numFmtId="41" fontId="79" fillId="0" borderId="18" xfId="121" applyNumberFormat="1" applyFont="1" applyBorder="1" applyAlignment="1">
      <alignment horizontal="center" vertical="center" wrapText="1"/>
    </xf>
    <xf numFmtId="0" fontId="79" fillId="0" borderId="18" xfId="121" applyFont="1" applyBorder="1" applyAlignment="1">
      <alignment vertical="center" wrapText="1"/>
    </xf>
    <xf numFmtId="0" fontId="81" fillId="0" borderId="19" xfId="121" applyFont="1" applyBorder="1" applyAlignment="1">
      <alignment horizontal="center" vertical="center" wrapText="1"/>
    </xf>
    <xf numFmtId="0" fontId="81" fillId="0" borderId="0" xfId="121" applyFont="1" applyAlignment="1">
      <alignment horizontal="center" vertical="center" wrapText="1"/>
    </xf>
    <xf numFmtId="0" fontId="81" fillId="0" borderId="17" xfId="121" applyFont="1" applyBorder="1" applyAlignment="1">
      <alignment horizontal="center" vertical="center" wrapText="1"/>
    </xf>
    <xf numFmtId="0" fontId="81" fillId="0" borderId="18" xfId="121" applyFont="1" applyBorder="1" applyAlignment="1">
      <alignment horizontal="right" vertical="center" wrapText="1"/>
    </xf>
    <xf numFmtId="0" fontId="90" fillId="0" borderId="18" xfId="0" applyFont="1" applyBorder="1" applyAlignment="1">
      <alignment horizontal="left" vertical="center"/>
    </xf>
    <xf numFmtId="0" fontId="90" fillId="0" borderId="18" xfId="0" applyFont="1" applyBorder="1" applyAlignment="1">
      <alignment horizontal="left" vertical="center" wrapText="1"/>
    </xf>
    <xf numFmtId="0" fontId="76" fillId="0" borderId="18" xfId="0" applyFont="1" applyBorder="1" applyAlignment="1">
      <alignment horizontal="center" vertical="top"/>
    </xf>
    <xf numFmtId="0" fontId="76" fillId="0" borderId="18" xfId="0" applyFont="1" applyBorder="1" applyAlignment="1">
      <alignment horizontal="right" vertical="center"/>
    </xf>
    <xf numFmtId="2" fontId="81" fillId="0" borderId="17" xfId="121" applyNumberFormat="1" applyFont="1" applyBorder="1" applyAlignment="1">
      <alignment horizontal="center" vertical="center" wrapText="1"/>
    </xf>
    <xf numFmtId="0" fontId="16" fillId="0" borderId="0" xfId="121" applyAlignment="1">
      <alignment horizontal="center" wrapText="1"/>
    </xf>
    <xf numFmtId="0" fontId="79" fillId="0" borderId="37" xfId="121" applyFont="1" applyBorder="1" applyAlignment="1">
      <alignment vertical="center" wrapText="1"/>
    </xf>
    <xf numFmtId="0" fontId="16" fillId="0" borderId="18" xfId="121" applyBorder="1" applyAlignment="1">
      <alignment wrapText="1"/>
    </xf>
    <xf numFmtId="0" fontId="81" fillId="0" borderId="37" xfId="121" applyFont="1" applyBorder="1" applyAlignment="1">
      <alignment vertical="center" wrapText="1"/>
    </xf>
    <xf numFmtId="0" fontId="81" fillId="0" borderId="37" xfId="121" applyFont="1" applyBorder="1" applyAlignment="1">
      <alignment horizontal="center" vertical="center" wrapText="1"/>
    </xf>
    <xf numFmtId="2" fontId="81" fillId="0" borderId="36" xfId="121" applyNumberFormat="1" applyFont="1" applyBorder="1" applyAlignment="1">
      <alignment horizontal="center" vertical="center" wrapText="1"/>
    </xf>
    <xf numFmtId="0" fontId="16" fillId="0" borderId="13" xfId="121" applyBorder="1" applyAlignment="1">
      <alignment horizontal="center" wrapText="1"/>
    </xf>
    <xf numFmtId="0" fontId="79" fillId="0" borderId="18" xfId="121" applyFont="1" applyBorder="1" applyAlignment="1">
      <alignment horizontal="center" vertical="center"/>
    </xf>
    <xf numFmtId="0" fontId="79" fillId="0" borderId="38" xfId="121" applyFont="1" applyBorder="1" applyAlignment="1">
      <alignment horizontal="center" vertical="center"/>
    </xf>
    <xf numFmtId="0" fontId="78" fillId="0" borderId="38" xfId="121" applyFont="1" applyBorder="1" applyAlignment="1">
      <alignment horizontal="center" vertical="center"/>
    </xf>
    <xf numFmtId="0" fontId="84" fillId="0" borderId="18" xfId="121" applyFont="1" applyBorder="1" applyAlignment="1">
      <alignment horizontal="center" vertical="center" wrapText="1"/>
    </xf>
    <xf numFmtId="0" fontId="80" fillId="0" borderId="0" xfId="121" applyFont="1" applyAlignment="1">
      <alignment horizontal="center" vertical="center" wrapText="1"/>
    </xf>
    <xf numFmtId="0" fontId="16" fillId="0" borderId="24" xfId="121" applyBorder="1" applyAlignment="1">
      <alignment horizontal="center" wrapText="1"/>
    </xf>
    <xf numFmtId="0" fontId="79" fillId="0" borderId="30" xfId="121" applyFont="1" applyBorder="1" applyAlignment="1">
      <alignment vertical="center"/>
    </xf>
    <xf numFmtId="0" fontId="79" fillId="0" borderId="30" xfId="121" applyFont="1" applyBorder="1" applyAlignment="1">
      <alignment vertical="center" wrapText="1"/>
    </xf>
    <xf numFmtId="0" fontId="81" fillId="0" borderId="30" xfId="121" applyFont="1" applyBorder="1" applyAlignment="1">
      <alignment horizontal="center" vertical="center" wrapText="1"/>
    </xf>
    <xf numFmtId="0" fontId="14" fillId="0" borderId="0" xfId="121" applyFont="1" applyAlignment="1">
      <alignment wrapText="1"/>
    </xf>
    <xf numFmtId="0" fontId="14" fillId="0" borderId="18" xfId="121" applyFont="1" applyBorder="1" applyAlignment="1">
      <alignment horizontal="center" vertical="center" wrapText="1"/>
    </xf>
    <xf numFmtId="0" fontId="81" fillId="0" borderId="30" xfId="121" applyFont="1" applyBorder="1" applyAlignment="1">
      <alignment horizontal="center" vertical="center"/>
    </xf>
    <xf numFmtId="0" fontId="81" fillId="0" borderId="19" xfId="121" applyFont="1" applyBorder="1" applyAlignment="1">
      <alignment horizontal="center" vertical="center"/>
    </xf>
    <xf numFmtId="0" fontId="79" fillId="0" borderId="19" xfId="121" applyFont="1" applyBorder="1" applyAlignment="1">
      <alignment horizontal="center" vertical="center"/>
    </xf>
    <xf numFmtId="1" fontId="79" fillId="0" borderId="18" xfId="121" applyNumberFormat="1" applyFont="1" applyBorder="1" applyAlignment="1">
      <alignment horizontal="right" vertical="center" wrapText="1"/>
    </xf>
    <xf numFmtId="0" fontId="16" fillId="0" borderId="15" xfId="121" applyBorder="1" applyAlignment="1">
      <alignment horizontal="center" wrapText="1"/>
    </xf>
    <xf numFmtId="0" fontId="81" fillId="0" borderId="18" xfId="121" applyFont="1" applyBorder="1" applyAlignment="1">
      <alignment vertical="center" wrapText="1"/>
    </xf>
    <xf numFmtId="4" fontId="16" fillId="0" borderId="0" xfId="121" applyNumberFormat="1" applyAlignment="1">
      <alignment wrapText="1"/>
    </xf>
    <xf numFmtId="4" fontId="81" fillId="0" borderId="18" xfId="121" applyNumberFormat="1" applyFont="1" applyBorder="1" applyAlignment="1">
      <alignment horizontal="right" vertical="center" wrapText="1"/>
    </xf>
    <xf numFmtId="0" fontId="16" fillId="0" borderId="14" xfId="121" applyBorder="1" applyAlignment="1">
      <alignment wrapText="1"/>
    </xf>
    <xf numFmtId="0" fontId="94" fillId="0" borderId="0" xfId="121" applyFont="1" applyAlignment="1">
      <alignment horizontal="center" wrapText="1"/>
    </xf>
    <xf numFmtId="170" fontId="14" fillId="0" borderId="17" xfId="121" applyNumberFormat="1" applyFont="1" applyBorder="1" applyAlignment="1">
      <alignment wrapText="1"/>
    </xf>
    <xf numFmtId="0" fontId="16" fillId="0" borderId="19" xfId="121" applyBorder="1" applyAlignment="1">
      <alignment wrapText="1"/>
    </xf>
    <xf numFmtId="170" fontId="14" fillId="0" borderId="17" xfId="121" applyNumberFormat="1" applyFont="1" applyBorder="1" applyAlignment="1">
      <alignment horizontal="right" wrapText="1"/>
    </xf>
    <xf numFmtId="0" fontId="14" fillId="0" borderId="17" xfId="121" applyFont="1" applyBorder="1" applyAlignment="1">
      <alignment wrapText="1"/>
    </xf>
    <xf numFmtId="0" fontId="14" fillId="0" borderId="33" xfId="121" applyFont="1" applyBorder="1" applyAlignment="1">
      <alignment wrapText="1"/>
    </xf>
    <xf numFmtId="0" fontId="16" fillId="0" borderId="34" xfId="121" applyBorder="1" applyAlignment="1">
      <alignment wrapText="1"/>
    </xf>
    <xf numFmtId="0" fontId="16" fillId="0" borderId="35" xfId="121" applyBorder="1" applyAlignment="1">
      <alignment wrapText="1"/>
    </xf>
    <xf numFmtId="0" fontId="94" fillId="0" borderId="27" xfId="121" applyFont="1" applyBorder="1" applyAlignment="1">
      <alignment wrapText="1"/>
    </xf>
    <xf numFmtId="0" fontId="94" fillId="0" borderId="26" xfId="121" applyFont="1" applyBorder="1" applyAlignment="1">
      <alignment horizontal="center" vertical="center" wrapText="1"/>
    </xf>
    <xf numFmtId="0" fontId="94" fillId="0" borderId="27" xfId="121" applyFont="1" applyBorder="1" applyAlignment="1">
      <alignment horizontal="center" vertical="center" wrapText="1"/>
    </xf>
    <xf numFmtId="0" fontId="94" fillId="0" borderId="32" xfId="121" applyFont="1" applyBorder="1" applyAlignment="1">
      <alignment horizontal="center" vertical="center" wrapText="1"/>
    </xf>
    <xf numFmtId="0" fontId="102" fillId="0" borderId="0" xfId="121" applyFont="1" applyAlignment="1">
      <alignment vertical="center" wrapText="1"/>
    </xf>
    <xf numFmtId="0" fontId="16" fillId="0" borderId="17" xfId="121" applyBorder="1" applyAlignment="1">
      <alignment wrapText="1"/>
    </xf>
    <xf numFmtId="0" fontId="16" fillId="0" borderId="33" xfId="121" applyBorder="1" applyAlignment="1">
      <alignment wrapText="1"/>
    </xf>
    <xf numFmtId="0" fontId="16" fillId="0" borderId="18" xfId="121" applyBorder="1" applyAlignment="1">
      <alignment horizontal="center" vertical="center" wrapText="1"/>
    </xf>
    <xf numFmtId="0" fontId="101" fillId="0" borderId="18" xfId="121" applyFont="1" applyBorder="1" applyAlignment="1">
      <alignment horizontal="center" vertical="center" wrapText="1"/>
    </xf>
    <xf numFmtId="4" fontId="16" fillId="0" borderId="18" xfId="121" applyNumberFormat="1" applyBorder="1" applyAlignment="1">
      <alignment horizontal="center" vertical="center" wrapText="1"/>
    </xf>
    <xf numFmtId="0" fontId="13" fillId="0" borderId="0" xfId="121" applyFont="1" applyAlignment="1">
      <alignment wrapText="1"/>
    </xf>
    <xf numFmtId="0" fontId="13" fillId="0" borderId="0" xfId="121" applyFont="1" applyAlignment="1">
      <alignment horizontal="center"/>
    </xf>
    <xf numFmtId="0" fontId="14" fillId="0" borderId="0" xfId="121" applyFont="1" applyAlignment="1">
      <alignment horizontal="right" wrapText="1"/>
    </xf>
    <xf numFmtId="0" fontId="16" fillId="0" borderId="0" xfId="121" applyAlignment="1">
      <alignment horizontal="right" wrapText="1"/>
    </xf>
    <xf numFmtId="4" fontId="94" fillId="0" borderId="0" xfId="121" applyNumberFormat="1" applyFont="1" applyAlignment="1">
      <alignment wrapText="1"/>
    </xf>
    <xf numFmtId="0" fontId="94" fillId="0" borderId="0" xfId="121" applyFont="1" applyAlignment="1">
      <alignment horizontal="right" wrapText="1" indent="1"/>
    </xf>
    <xf numFmtId="0" fontId="94" fillId="0" borderId="0" xfId="121" applyFont="1" applyAlignment="1">
      <alignment wrapText="1"/>
    </xf>
    <xf numFmtId="0" fontId="13" fillId="0" borderId="0" xfId="121" applyFont="1" applyAlignment="1">
      <alignment vertical="center" wrapText="1"/>
    </xf>
    <xf numFmtId="4" fontId="94" fillId="0" borderId="0" xfId="121" applyNumberFormat="1" applyFont="1" applyAlignment="1">
      <alignment vertical="center" wrapText="1"/>
    </xf>
    <xf numFmtId="0" fontId="13" fillId="0" borderId="18" xfId="121" applyFont="1" applyBorder="1" applyAlignment="1">
      <alignment horizontal="center" vertical="center" wrapText="1"/>
    </xf>
    <xf numFmtId="2" fontId="16" fillId="0" borderId="18" xfId="121" applyNumberFormat="1" applyBorder="1" applyAlignment="1">
      <alignment horizontal="center" vertical="center" wrapText="1"/>
    </xf>
    <xf numFmtId="14" fontId="0" fillId="0" borderId="0" xfId="0" applyNumberFormat="1" applyAlignment="1">
      <alignment horizontal="left" vertical="top"/>
    </xf>
    <xf numFmtId="175" fontId="0" fillId="0" borderId="0" xfId="122" applyNumberFormat="1" applyFont="1" applyAlignment="1">
      <alignment horizontal="left" vertical="top"/>
    </xf>
    <xf numFmtId="165" fontId="0" fillId="0" borderId="0" xfId="0" applyNumberFormat="1" applyAlignment="1">
      <alignment horizontal="left" vertical="top"/>
    </xf>
    <xf numFmtId="177" fontId="0" fillId="0" borderId="0" xfId="0" applyNumberFormat="1" applyAlignment="1">
      <alignment horizontal="left" vertical="top"/>
    </xf>
    <xf numFmtId="0" fontId="94" fillId="0" borderId="18" xfId="0" applyFont="1" applyBorder="1"/>
    <xf numFmtId="10"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3" fontId="0" fillId="0" borderId="18" xfId="0" applyNumberFormat="1" applyBorder="1" applyAlignment="1">
      <alignment horizontal="center" vertical="center"/>
    </xf>
    <xf numFmtId="0" fontId="0" fillId="0" borderId="56" xfId="0" applyBorder="1" applyAlignment="1">
      <alignment horizontal="center" vertical="center" wrapText="1"/>
    </xf>
    <xf numFmtId="3" fontId="0" fillId="0" borderId="2" xfId="0" applyNumberFormat="1" applyBorder="1" applyAlignment="1">
      <alignment horizontal="center" vertical="center" wrapText="1"/>
    </xf>
    <xf numFmtId="178" fontId="0" fillId="0" borderId="0" xfId="0" applyNumberFormat="1" applyAlignment="1">
      <alignment horizontal="left" vertical="top"/>
    </xf>
    <xf numFmtId="2" fontId="0" fillId="0" borderId="0" xfId="0" applyNumberFormat="1" applyAlignment="1">
      <alignment horizontal="left" vertical="top"/>
    </xf>
    <xf numFmtId="10" fontId="0" fillId="0" borderId="0" xfId="0" applyNumberFormat="1" applyAlignment="1">
      <alignment horizontal="left" vertical="top"/>
    </xf>
    <xf numFmtId="4" fontId="0" fillId="0" borderId="0" xfId="0" applyNumberFormat="1" applyAlignment="1">
      <alignment horizontal="left" vertical="top"/>
    </xf>
    <xf numFmtId="0" fontId="76" fillId="0" borderId="18" xfId="0" applyFont="1" applyBorder="1" applyAlignment="1">
      <alignment horizontal="center" vertical="center"/>
    </xf>
    <xf numFmtId="1" fontId="39" fillId="0" borderId="0" xfId="0" applyNumberFormat="1" applyFont="1" applyAlignment="1">
      <alignment horizontal="left" vertical="top" wrapText="1" shrinkToFit="1"/>
    </xf>
    <xf numFmtId="10" fontId="74" fillId="0" borderId="1" xfId="0" applyNumberFormat="1" applyFont="1" applyBorder="1" applyAlignment="1">
      <alignment horizontal="center" vertical="center" wrapText="1"/>
    </xf>
    <xf numFmtId="3" fontId="0" fillId="3" borderId="18" xfId="0" applyNumberFormat="1" applyFill="1" applyBorder="1" applyAlignment="1">
      <alignment horizontal="center" vertical="center"/>
    </xf>
    <xf numFmtId="0" fontId="0" fillId="3" borderId="1" xfId="0" applyFill="1" applyBorder="1" applyAlignment="1">
      <alignment horizontal="center" vertical="center" wrapText="1"/>
    </xf>
    <xf numFmtId="0" fontId="0" fillId="3" borderId="56" xfId="0" applyFill="1" applyBorder="1" applyAlignment="1">
      <alignment horizontal="center" vertical="center" wrapText="1"/>
    </xf>
    <xf numFmtId="10" fontId="0" fillId="3" borderId="1" xfId="0" applyNumberFormat="1" applyFill="1" applyBorder="1" applyAlignment="1">
      <alignment horizontal="center" vertical="center" wrapText="1"/>
    </xf>
    <xf numFmtId="9" fontId="0" fillId="3" borderId="1" xfId="0" applyNumberFormat="1" applyFill="1" applyBorder="1" applyAlignment="1">
      <alignment horizontal="center" vertical="center" wrapText="1"/>
    </xf>
    <xf numFmtId="3" fontId="0" fillId="3" borderId="2" xfId="0" applyNumberFormat="1" applyFill="1" applyBorder="1" applyAlignment="1">
      <alignment horizontal="center" vertical="center" wrapText="1"/>
    </xf>
    <xf numFmtId="0" fontId="85" fillId="0" borderId="0" xfId="121" applyFont="1" applyAlignment="1">
      <alignment vertical="center" wrapText="1"/>
    </xf>
    <xf numFmtId="0" fontId="79" fillId="0" borderId="30" xfId="121" applyFont="1" applyBorder="1" applyAlignment="1">
      <alignment horizontal="center" vertical="center" wrapText="1"/>
    </xf>
    <xf numFmtId="0" fontId="79" fillId="0" borderId="18" xfId="121" applyFont="1" applyBorder="1" applyAlignment="1">
      <alignment horizontal="center" vertical="center" wrapText="1"/>
    </xf>
    <xf numFmtId="0" fontId="81" fillId="0" borderId="18" xfId="121" applyFont="1" applyBorder="1" applyAlignment="1">
      <alignment horizontal="center" vertical="center" wrapText="1"/>
    </xf>
    <xf numFmtId="0" fontId="80" fillId="0" borderId="19" xfId="121" applyFont="1" applyBorder="1" applyAlignment="1">
      <alignment vertical="center" wrapText="1"/>
    </xf>
    <xf numFmtId="10" fontId="76" fillId="0" borderId="18" xfId="0" applyNumberFormat="1" applyFont="1" applyBorder="1" applyAlignment="1">
      <alignment horizontal="center" vertical="center"/>
    </xf>
    <xf numFmtId="0" fontId="0" fillId="0" borderId="15" xfId="0" applyBorder="1" applyAlignment="1">
      <alignment horizontal="left" vertical="top"/>
    </xf>
    <xf numFmtId="0" fontId="81" fillId="0" borderId="17" xfId="121" quotePrefix="1" applyFont="1" applyBorder="1" applyAlignment="1">
      <alignment horizontal="center" vertical="center" wrapText="1"/>
    </xf>
    <xf numFmtId="0" fontId="79" fillId="0" borderId="18" xfId="121" applyFont="1" applyBorder="1" applyAlignment="1">
      <alignment horizontal="right" vertical="center" wrapText="1"/>
    </xf>
    <xf numFmtId="0" fontId="79" fillId="0" borderId="18" xfId="121" applyFont="1" applyBorder="1" applyAlignment="1">
      <alignment horizontal="left" vertical="center"/>
    </xf>
    <xf numFmtId="0" fontId="78" fillId="0" borderId="18" xfId="121" applyFont="1" applyBorder="1" applyAlignment="1">
      <alignment horizontal="left" vertical="center"/>
    </xf>
    <xf numFmtId="0" fontId="79" fillId="0" borderId="33" xfId="121" applyFont="1" applyBorder="1" applyAlignment="1">
      <alignment horizontal="center" vertical="center" wrapText="1"/>
    </xf>
    <xf numFmtId="0" fontId="79" fillId="0" borderId="34" xfId="121" applyFont="1" applyBorder="1" applyAlignment="1">
      <alignment vertical="center" wrapText="1"/>
    </xf>
    <xf numFmtId="4" fontId="79" fillId="0" borderId="34" xfId="121" applyNumberFormat="1" applyFont="1" applyBorder="1" applyAlignment="1">
      <alignment horizontal="right" vertical="center" wrapText="1"/>
    </xf>
    <xf numFmtId="0" fontId="79" fillId="0" borderId="34" xfId="121" applyFont="1" applyBorder="1" applyAlignment="1">
      <alignment horizontal="center" vertical="center" wrapText="1"/>
    </xf>
    <xf numFmtId="0" fontId="14" fillId="0" borderId="18" xfId="121" applyFont="1" applyBorder="1" applyAlignment="1">
      <alignment wrapText="1"/>
    </xf>
    <xf numFmtId="41" fontId="79" fillId="0" borderId="30" xfId="121" applyNumberFormat="1" applyFont="1" applyBorder="1" applyAlignment="1">
      <alignment horizontal="center" vertical="center" wrapText="1"/>
    </xf>
    <xf numFmtId="0" fontId="81" fillId="0" borderId="15" xfId="121" applyFont="1" applyBorder="1" applyAlignment="1">
      <alignment horizontal="center" vertical="center" wrapText="1"/>
    </xf>
    <xf numFmtId="10" fontId="16" fillId="0" borderId="0" xfId="124" applyNumberFormat="1" applyFont="1" applyAlignment="1">
      <alignment wrapText="1"/>
    </xf>
    <xf numFmtId="0" fontId="106" fillId="0" borderId="18" xfId="121" applyFont="1" applyBorder="1" applyAlignment="1">
      <alignment horizontal="center" vertical="center" wrapText="1"/>
    </xf>
    <xf numFmtId="2" fontId="81" fillId="0" borderId="30" xfId="121" applyNumberFormat="1" applyFont="1" applyBorder="1" applyAlignment="1">
      <alignment horizontal="center" vertical="center" wrapText="1"/>
    </xf>
    <xf numFmtId="0" fontId="105" fillId="0" borderId="18" xfId="121" applyFont="1" applyBorder="1" applyAlignment="1">
      <alignment horizontal="center" vertical="center" wrapText="1"/>
    </xf>
    <xf numFmtId="0" fontId="89" fillId="0" borderId="16" xfId="121" applyFont="1" applyBorder="1" applyAlignment="1">
      <alignment horizontal="left" vertical="center"/>
    </xf>
    <xf numFmtId="0" fontId="79" fillId="0" borderId="36" xfId="121" quotePrefix="1" applyFont="1" applyBorder="1" applyAlignment="1">
      <alignment horizontal="center" vertical="center" wrapText="1"/>
    </xf>
    <xf numFmtId="4" fontId="16" fillId="0" borderId="0" xfId="121" applyNumberFormat="1" applyAlignment="1">
      <alignment horizontal="center" vertical="center" wrapText="1"/>
    </xf>
    <xf numFmtId="0" fontId="16" fillId="0" borderId="0" xfId="121" applyAlignment="1">
      <alignment horizontal="center" vertical="center" wrapText="1"/>
    </xf>
    <xf numFmtId="4" fontId="14" fillId="0" borderId="18" xfId="121" applyNumberFormat="1" applyFont="1" applyBorder="1" applyAlignment="1">
      <alignment horizontal="center" vertical="center" wrapText="1"/>
    </xf>
    <xf numFmtId="4" fontId="94" fillId="0" borderId="18" xfId="121" applyNumberFormat="1" applyFont="1" applyBorder="1" applyAlignment="1">
      <alignment horizontal="center" vertical="center" wrapText="1"/>
    </xf>
    <xf numFmtId="4" fontId="107" fillId="0" borderId="18" xfId="62" applyNumberFormat="1" applyFont="1" applyBorder="1" applyAlignment="1">
      <alignment horizontal="center" vertical="center"/>
    </xf>
    <xf numFmtId="0" fontId="12" fillId="0" borderId="18" xfId="121" applyFont="1" applyBorder="1" applyAlignment="1">
      <alignment horizontal="center" vertical="center" wrapText="1"/>
    </xf>
    <xf numFmtId="2" fontId="12" fillId="0" borderId="18" xfId="121" applyNumberFormat="1" applyFont="1" applyBorder="1" applyAlignment="1">
      <alignment horizontal="center" vertical="center" wrapText="1"/>
    </xf>
    <xf numFmtId="0" fontId="56" fillId="0" borderId="18" xfId="62" applyFont="1" applyBorder="1" applyAlignment="1">
      <alignment horizontal="center"/>
    </xf>
    <xf numFmtId="2" fontId="74" fillId="0" borderId="0" xfId="0" applyNumberFormat="1" applyFont="1" applyAlignment="1">
      <alignment horizontal="center" vertical="center"/>
    </xf>
    <xf numFmtId="4" fontId="109" fillId="0" borderId="18" xfId="121" applyNumberFormat="1" applyFont="1" applyBorder="1" applyAlignment="1">
      <alignment horizontal="center" vertical="center" wrapText="1"/>
    </xf>
    <xf numFmtId="0" fontId="109" fillId="0" borderId="18" xfId="121" applyFont="1" applyBorder="1" applyAlignment="1">
      <alignment horizontal="center" vertical="center" wrapText="1"/>
    </xf>
    <xf numFmtId="4" fontId="106" fillId="0" borderId="18" xfId="121" applyNumberFormat="1" applyFont="1" applyBorder="1" applyAlignment="1">
      <alignment horizontal="center" vertical="center" wrapText="1"/>
    </xf>
    <xf numFmtId="0" fontId="72" fillId="0" borderId="18" xfId="62" applyFont="1" applyBorder="1" applyAlignment="1">
      <alignment horizontal="center" vertical="center"/>
    </xf>
    <xf numFmtId="4" fontId="72" fillId="0" borderId="18" xfId="62" applyNumberFormat="1" applyFont="1" applyBorder="1" applyAlignment="1">
      <alignment horizontal="center"/>
    </xf>
    <xf numFmtId="0" fontId="101" fillId="0" borderId="0" xfId="125" applyFont="1"/>
    <xf numFmtId="1" fontId="110" fillId="0" borderId="18" xfId="0" applyNumberFormat="1" applyFont="1" applyBorder="1" applyAlignment="1">
      <alignment horizontal="center" vertical="center" shrinkToFit="1"/>
    </xf>
    <xf numFmtId="0" fontId="111" fillId="0" borderId="18" xfId="0" applyFont="1" applyBorder="1" applyAlignment="1">
      <alignment horizontal="center" vertical="center" wrapText="1"/>
    </xf>
    <xf numFmtId="1" fontId="112" fillId="0" borderId="18" xfId="0" applyNumberFormat="1" applyFont="1" applyBorder="1" applyAlignment="1">
      <alignment horizontal="center" vertical="center" shrinkToFit="1"/>
    </xf>
    <xf numFmtId="2" fontId="116" fillId="0" borderId="18" xfId="125" applyNumberFormat="1" applyFont="1" applyBorder="1" applyAlignment="1">
      <alignment horizontal="center" vertical="center"/>
    </xf>
    <xf numFmtId="4" fontId="116" fillId="0" borderId="18" xfId="125" applyNumberFormat="1" applyFont="1" applyBorder="1" applyAlignment="1">
      <alignment horizontal="center" vertical="center"/>
    </xf>
    <xf numFmtId="0" fontId="116" fillId="0" borderId="18" xfId="125" applyFont="1" applyBorder="1" applyAlignment="1">
      <alignment horizontal="center" vertical="center"/>
    </xf>
    <xf numFmtId="0" fontId="81" fillId="0" borderId="18" xfId="0" applyFont="1" applyBorder="1" applyAlignment="1">
      <alignment horizontal="center" vertical="center" wrapText="1"/>
    </xf>
    <xf numFmtId="0" fontId="10" fillId="0" borderId="0" xfId="126"/>
    <xf numFmtId="0" fontId="76" fillId="0" borderId="15" xfId="0" applyFont="1" applyBorder="1" applyAlignment="1">
      <alignment horizontal="left" vertical="top"/>
    </xf>
    <xf numFmtId="0" fontId="90" fillId="0" borderId="14" xfId="0" applyFont="1" applyBorder="1" applyAlignment="1">
      <alignment horizontal="right" vertical="center" wrapText="1"/>
    </xf>
    <xf numFmtId="0" fontId="90" fillId="0" borderId="16" xfId="0" applyFont="1" applyBorder="1" applyAlignment="1">
      <alignment horizontal="right" vertical="center" wrapText="1"/>
    </xf>
    <xf numFmtId="2" fontId="76" fillId="0" borderId="18" xfId="0" applyNumberFormat="1" applyFont="1" applyBorder="1" applyAlignment="1">
      <alignment horizontal="center" vertical="center" wrapText="1"/>
    </xf>
    <xf numFmtId="0" fontId="58" fillId="0" borderId="0" xfId="62" applyFont="1" applyAlignment="1">
      <alignment horizontal="center" vertical="center"/>
    </xf>
    <xf numFmtId="0" fontId="58" fillId="0" borderId="15" xfId="62" applyFont="1" applyBorder="1"/>
    <xf numFmtId="0" fontId="58" fillId="0" borderId="16" xfId="62" applyFont="1" applyBorder="1"/>
    <xf numFmtId="0" fontId="58" fillId="0" borderId="23" xfId="62" applyFont="1" applyBorder="1"/>
    <xf numFmtId="0" fontId="58" fillId="0" borderId="24" xfId="62" applyFont="1" applyBorder="1"/>
    <xf numFmtId="0" fontId="58" fillId="0" borderId="25" xfId="62" applyFont="1" applyBorder="1"/>
    <xf numFmtId="0" fontId="122" fillId="0" borderId="0" xfId="62" applyFont="1" applyAlignment="1">
      <alignment horizontal="center" vertical="center"/>
    </xf>
    <xf numFmtId="0" fontId="25" fillId="0" borderId="2" xfId="127" applyFont="1" applyBorder="1" applyAlignment="1">
      <alignment horizontal="center" vertical="center" wrapText="1"/>
    </xf>
    <xf numFmtId="0" fontId="25" fillId="0" borderId="44" xfId="127" applyFont="1" applyBorder="1" applyAlignment="1">
      <alignment horizontal="center" vertical="center" wrapText="1"/>
    </xf>
    <xf numFmtId="0" fontId="25" fillId="0" borderId="19" xfId="127" applyFont="1" applyBorder="1" applyAlignment="1">
      <alignment horizontal="center" vertical="center" wrapText="1"/>
    </xf>
    <xf numFmtId="0" fontId="121" fillId="0" borderId="19" xfId="127" applyFont="1" applyBorder="1" applyAlignment="1">
      <alignment horizontal="center" vertical="center" wrapText="1"/>
    </xf>
    <xf numFmtId="3" fontId="0" fillId="0" borderId="0" xfId="0" applyNumberFormat="1" applyAlignment="1">
      <alignment horizontal="left" vertical="top"/>
    </xf>
    <xf numFmtId="0" fontId="90" fillId="0" borderId="14" xfId="0" applyFont="1" applyBorder="1" applyAlignment="1">
      <alignment horizontal="left" vertical="top"/>
    </xf>
    <xf numFmtId="41" fontId="79" fillId="0" borderId="17" xfId="121" applyNumberFormat="1" applyFont="1" applyBorder="1" applyAlignment="1">
      <alignment vertical="center" wrapText="1"/>
    </xf>
    <xf numFmtId="41" fontId="79" fillId="0" borderId="18" xfId="121" applyNumberFormat="1" applyFont="1" applyBorder="1" applyAlignment="1">
      <alignment vertical="center" wrapText="1"/>
    </xf>
    <xf numFmtId="0" fontId="79" fillId="0" borderId="73" xfId="121" applyFont="1" applyBorder="1" applyAlignment="1">
      <alignment horizontal="center" vertical="center" wrapText="1"/>
    </xf>
    <xf numFmtId="0" fontId="58" fillId="0" borderId="19" xfId="62" applyFont="1" applyBorder="1" applyAlignment="1">
      <alignment horizontal="center" vertical="center" wrapText="1"/>
    </xf>
    <xf numFmtId="0" fontId="126" fillId="0" borderId="0" xfId="126" applyFont="1"/>
    <xf numFmtId="2" fontId="129" fillId="0" borderId="18" xfId="126" applyNumberFormat="1" applyFont="1" applyBorder="1" applyAlignment="1">
      <alignment horizontal="center" vertical="center"/>
    </xf>
    <xf numFmtId="0" fontId="56" fillId="0" borderId="17" xfId="1" applyFont="1" applyBorder="1" applyAlignment="1">
      <alignment horizontal="center" vertical="center"/>
    </xf>
    <xf numFmtId="0" fontId="59" fillId="0" borderId="15" xfId="1" applyFont="1" applyBorder="1" applyAlignment="1">
      <alignment horizontal="center" vertical="center"/>
    </xf>
    <xf numFmtId="0" fontId="81" fillId="0" borderId="0" xfId="121" applyFont="1" applyAlignment="1">
      <alignment horizontal="center" vertical="center"/>
    </xf>
    <xf numFmtId="0" fontId="79" fillId="0" borderId="0" xfId="121" applyFont="1" applyAlignment="1">
      <alignment horizontal="right" vertical="center"/>
    </xf>
    <xf numFmtId="0" fontId="81" fillId="0" borderId="16" xfId="121" applyFont="1" applyBorder="1" applyAlignment="1">
      <alignment horizontal="center" vertical="center" wrapText="1"/>
    </xf>
    <xf numFmtId="0" fontId="13" fillId="0" borderId="0" xfId="121" applyFont="1" applyAlignment="1">
      <alignment horizontal="left" vertical="center" wrapText="1"/>
    </xf>
    <xf numFmtId="0" fontId="58" fillId="0" borderId="12" xfId="62" applyFont="1" applyBorder="1"/>
    <xf numFmtId="0" fontId="85" fillId="0" borderId="0" xfId="121" applyFont="1" applyAlignment="1">
      <alignment horizontal="center" vertical="center" wrapText="1"/>
    </xf>
    <xf numFmtId="0" fontId="101" fillId="0" borderId="31" xfId="121" applyFont="1" applyBorder="1" applyAlignment="1">
      <alignment horizontal="center" vertical="center" wrapText="1"/>
    </xf>
    <xf numFmtId="0" fontId="101" fillId="0" borderId="0" xfId="121" applyFont="1" applyAlignment="1">
      <alignment horizontal="center" vertical="center" wrapText="1"/>
    </xf>
    <xf numFmtId="0" fontId="58" fillId="0" borderId="12" xfId="62" applyFont="1" applyBorder="1" applyAlignment="1">
      <alignment horizontal="center" vertical="center"/>
    </xf>
    <xf numFmtId="4" fontId="80" fillId="0" borderId="0" xfId="121" applyNumberFormat="1" applyFont="1" applyAlignment="1">
      <alignment vertical="center" wrapText="1"/>
    </xf>
    <xf numFmtId="0" fontId="81" fillId="0" borderId="18" xfId="121" applyFont="1" applyBorder="1" applyAlignment="1">
      <alignment horizontal="right" wrapText="1"/>
    </xf>
    <xf numFmtId="0" fontId="13" fillId="0" borderId="0" xfId="121" applyFont="1" applyAlignment="1">
      <alignment horizontal="center" vertical="center" wrapText="1"/>
    </xf>
    <xf numFmtId="2" fontId="16" fillId="0" borderId="0" xfId="121" applyNumberFormat="1" applyAlignment="1">
      <alignment horizontal="center" vertical="center" wrapText="1"/>
    </xf>
    <xf numFmtId="0" fontId="89" fillId="0" borderId="0" xfId="121" applyFont="1" applyAlignment="1">
      <alignment vertical="center" wrapText="1"/>
    </xf>
    <xf numFmtId="4" fontId="79" fillId="0" borderId="18" xfId="121" applyNumberFormat="1" applyFont="1" applyBorder="1" applyAlignment="1">
      <alignment horizontal="left" vertical="center"/>
    </xf>
    <xf numFmtId="0" fontId="79" fillId="0" borderId="18" xfId="121" applyFont="1" applyBorder="1" applyAlignment="1">
      <alignment horizontal="left"/>
    </xf>
    <xf numFmtId="0" fontId="99" fillId="0" borderId="18" xfId="121" applyFont="1" applyBorder="1" applyAlignment="1">
      <alignment vertical="center" wrapText="1"/>
    </xf>
    <xf numFmtId="0" fontId="16" fillId="0" borderId="17" xfId="121" applyBorder="1" applyAlignment="1">
      <alignment horizontal="center" wrapText="1"/>
    </xf>
    <xf numFmtId="166" fontId="16" fillId="0" borderId="17" xfId="121" applyNumberFormat="1" applyBorder="1" applyAlignment="1">
      <alignment horizontal="center" wrapText="1"/>
    </xf>
    <xf numFmtId="0" fontId="58" fillId="0" borderId="17" xfId="62" applyFont="1" applyBorder="1" applyAlignment="1">
      <alignment horizontal="center" vertical="center"/>
    </xf>
    <xf numFmtId="0" fontId="58" fillId="0" borderId="20" xfId="62" applyFont="1" applyBorder="1" applyAlignment="1">
      <alignment horizontal="center" vertical="center"/>
    </xf>
    <xf numFmtId="0" fontId="58" fillId="0" borderId="17" xfId="62" applyFont="1" applyBorder="1" applyAlignment="1">
      <alignment horizontal="center"/>
    </xf>
    <xf numFmtId="0" fontId="85" fillId="0" borderId="0" xfId="121" applyFont="1" applyAlignment="1">
      <alignment horizontal="left" vertical="center" wrapText="1"/>
    </xf>
    <xf numFmtId="1" fontId="110" fillId="0" borderId="30" xfId="0" applyNumberFormat="1" applyFont="1" applyBorder="1" applyAlignment="1">
      <alignment horizontal="center" vertical="center" shrinkToFit="1"/>
    </xf>
    <xf numFmtId="0" fontId="58" fillId="0" borderId="30" xfId="62" applyFont="1" applyBorder="1" applyAlignment="1">
      <alignment horizontal="center" vertical="center" wrapText="1"/>
    </xf>
    <xf numFmtId="0" fontId="58" fillId="0" borderId="21" xfId="62" applyFont="1" applyBorder="1" applyAlignment="1">
      <alignment horizontal="center" vertical="center" wrapText="1"/>
    </xf>
    <xf numFmtId="167" fontId="58" fillId="0" borderId="30" xfId="1" applyNumberFormat="1" applyFont="1" applyBorder="1" applyAlignment="1">
      <alignment horizontal="center" vertical="center"/>
    </xf>
    <xf numFmtId="0" fontId="59" fillId="0" borderId="16" xfId="1" applyFont="1" applyBorder="1" applyAlignment="1">
      <alignment horizontal="left" vertical="center"/>
    </xf>
    <xf numFmtId="0" fontId="58" fillId="0" borderId="22" xfId="62" applyFont="1" applyBorder="1" applyAlignment="1">
      <alignment horizontal="center" vertical="center" wrapText="1"/>
    </xf>
    <xf numFmtId="0" fontId="10" fillId="0" borderId="16" xfId="126" applyBorder="1"/>
    <xf numFmtId="0" fontId="108" fillId="0" borderId="0" xfId="121" applyFont="1" applyAlignment="1">
      <alignment wrapText="1"/>
    </xf>
    <xf numFmtId="0" fontId="74" fillId="0" borderId="30" xfId="0" applyFont="1" applyBorder="1" applyAlignment="1">
      <alignment horizontal="center" vertical="center" wrapText="1"/>
    </xf>
    <xf numFmtId="4" fontId="16" fillId="0" borderId="30" xfId="121" applyNumberFormat="1" applyBorder="1" applyAlignment="1">
      <alignment horizontal="center" vertical="center" wrapText="1"/>
    </xf>
    <xf numFmtId="0" fontId="16" fillId="0" borderId="30" xfId="121" applyBorder="1" applyAlignment="1">
      <alignment horizontal="center" vertical="center" wrapText="1"/>
    </xf>
    <xf numFmtId="4" fontId="94" fillId="0" borderId="30" xfId="121" applyNumberFormat="1" applyFont="1" applyBorder="1" applyAlignment="1">
      <alignment horizontal="center" vertical="center" wrapText="1"/>
    </xf>
    <xf numFmtId="4" fontId="109" fillId="0" borderId="30" xfId="121" applyNumberFormat="1" applyFont="1" applyBorder="1" applyAlignment="1">
      <alignment horizontal="center" vertical="center" wrapText="1"/>
    </xf>
    <xf numFmtId="4" fontId="106" fillId="0" borderId="30" xfId="121" applyNumberFormat="1" applyFont="1" applyBorder="1" applyAlignment="1">
      <alignment horizontal="center" vertical="center" wrapText="1"/>
    </xf>
    <xf numFmtId="4" fontId="107" fillId="0" borderId="30" xfId="62" applyNumberFormat="1" applyFont="1" applyBorder="1" applyAlignment="1">
      <alignment horizontal="center" vertical="center"/>
    </xf>
    <xf numFmtId="0" fontId="132" fillId="0" borderId="21" xfId="62" applyFont="1" applyBorder="1" applyAlignment="1">
      <alignment horizontal="center" vertical="center" wrapText="1"/>
    </xf>
    <xf numFmtId="0" fontId="132" fillId="0" borderId="52" xfId="62" applyFont="1" applyBorder="1" applyAlignment="1">
      <alignment horizontal="center" vertical="center" wrapText="1"/>
    </xf>
    <xf numFmtId="0" fontId="132" fillId="0" borderId="22" xfId="62" applyFont="1" applyBorder="1" applyAlignment="1">
      <alignment horizontal="center" vertical="center" wrapText="1"/>
    </xf>
    <xf numFmtId="0" fontId="58" fillId="0" borderId="18" xfId="62" applyFont="1" applyBorder="1"/>
    <xf numFmtId="4" fontId="58" fillId="0" borderId="18" xfId="62" applyNumberFormat="1" applyFont="1" applyBorder="1"/>
    <xf numFmtId="0" fontId="58" fillId="0" borderId="30" xfId="62" applyFont="1" applyBorder="1"/>
    <xf numFmtId="0" fontId="58" fillId="0" borderId="13" xfId="62" applyFont="1" applyBorder="1"/>
    <xf numFmtId="0" fontId="58" fillId="0" borderId="14" xfId="62" applyFont="1" applyBorder="1"/>
    <xf numFmtId="0" fontId="101" fillId="0" borderId="0" xfId="121" applyFont="1" applyAlignment="1">
      <alignment vertical="center" wrapText="1"/>
    </xf>
    <xf numFmtId="0" fontId="101" fillId="0" borderId="54" xfId="121" applyFont="1" applyBorder="1" applyAlignment="1">
      <alignment vertical="center" wrapText="1"/>
    </xf>
    <xf numFmtId="0" fontId="58" fillId="0" borderId="19" xfId="62" applyFont="1" applyBorder="1"/>
    <xf numFmtId="0" fontId="101" fillId="0" borderId="16" xfId="121" applyFont="1" applyBorder="1" applyAlignment="1">
      <alignment vertical="center" wrapText="1"/>
    </xf>
    <xf numFmtId="0" fontId="90" fillId="0" borderId="19" xfId="0" applyFont="1" applyBorder="1" applyAlignment="1">
      <alignment horizontal="center" vertical="center" wrapText="1"/>
    </xf>
    <xf numFmtId="0" fontId="133" fillId="0" borderId="15" xfId="0" applyFont="1" applyBorder="1" applyAlignment="1">
      <alignment vertical="center"/>
    </xf>
    <xf numFmtId="0" fontId="133" fillId="0" borderId="15" xfId="0" applyFont="1" applyBorder="1" applyAlignment="1">
      <alignment horizontal="left" vertical="center"/>
    </xf>
    <xf numFmtId="0" fontId="58" fillId="0" borderId="24" xfId="1" applyFont="1" applyBorder="1" applyAlignment="1">
      <alignment vertical="center"/>
    </xf>
    <xf numFmtId="0" fontId="56" fillId="0" borderId="25" xfId="1" applyFont="1" applyBorder="1" applyAlignment="1">
      <alignment vertical="center"/>
    </xf>
    <xf numFmtId="0" fontId="121" fillId="0" borderId="39" xfId="127" applyFont="1" applyBorder="1" applyAlignment="1">
      <alignment horizontal="center" vertical="center" wrapText="1"/>
    </xf>
    <xf numFmtId="0" fontId="121" fillId="0" borderId="22" xfId="127" applyFont="1" applyBorder="1" applyAlignment="1">
      <alignment horizontal="center" vertical="center" wrapText="1"/>
    </xf>
    <xf numFmtId="0" fontId="73" fillId="0" borderId="40" xfId="127" applyFont="1" applyBorder="1" applyAlignment="1">
      <alignment horizontal="center" vertical="center" wrapText="1"/>
    </xf>
    <xf numFmtId="0" fontId="73" fillId="0" borderId="19" xfId="127" applyFont="1" applyBorder="1" applyAlignment="1">
      <alignment horizontal="center" vertical="center" wrapText="1"/>
    </xf>
    <xf numFmtId="0" fontId="73" fillId="0" borderId="22" xfId="127" applyFont="1" applyBorder="1" applyAlignment="1">
      <alignment horizontal="center" vertical="center" wrapText="1"/>
    </xf>
    <xf numFmtId="41" fontId="79" fillId="0" borderId="30" xfId="121" applyNumberFormat="1" applyFont="1" applyBorder="1" applyAlignment="1">
      <alignment vertical="center" wrapText="1"/>
    </xf>
    <xf numFmtId="0" fontId="16" fillId="0" borderId="30" xfId="121" applyBorder="1" applyAlignment="1">
      <alignment wrapText="1"/>
    </xf>
    <xf numFmtId="0" fontId="16" fillId="0" borderId="47" xfId="121" applyBorder="1" applyAlignment="1">
      <alignment wrapText="1"/>
    </xf>
    <xf numFmtId="0" fontId="16" fillId="0" borderId="77" xfId="121" applyBorder="1" applyAlignment="1">
      <alignment wrapText="1"/>
    </xf>
    <xf numFmtId="0" fontId="134" fillId="0" borderId="0" xfId="121" applyFont="1" applyAlignment="1">
      <alignment horizontal="center" wrapText="1"/>
    </xf>
    <xf numFmtId="4" fontId="79" fillId="0" borderId="34" xfId="121" applyNumberFormat="1" applyFont="1" applyBorder="1" applyAlignment="1">
      <alignment vertical="center" wrapText="1"/>
    </xf>
    <xf numFmtId="41" fontId="79" fillId="0" borderId="37" xfId="121" applyNumberFormat="1" applyFont="1" applyBorder="1" applyAlignment="1">
      <alignment horizontal="center" vertical="center" wrapText="1"/>
    </xf>
    <xf numFmtId="0" fontId="80" fillId="0" borderId="35" xfId="121" applyFont="1" applyBorder="1" applyAlignment="1">
      <alignment vertical="center" wrapText="1"/>
    </xf>
    <xf numFmtId="0" fontId="90" fillId="0" borderId="18" xfId="0" applyFont="1" applyBorder="1" applyAlignment="1">
      <alignment horizontal="center" vertical="center"/>
    </xf>
    <xf numFmtId="4" fontId="102" fillId="0" borderId="18" xfId="0" applyNumberFormat="1" applyFont="1" applyBorder="1" applyAlignment="1">
      <alignment horizontal="center" vertical="center" wrapText="1"/>
    </xf>
    <xf numFmtId="0" fontId="117" fillId="0" borderId="0" xfId="0" applyFont="1" applyAlignment="1">
      <alignment horizontal="center" vertical="center"/>
    </xf>
    <xf numFmtId="0" fontId="95" fillId="0" borderId="0" xfId="0" applyFont="1" applyAlignment="1">
      <alignment horizontal="center" vertical="center"/>
    </xf>
    <xf numFmtId="0" fontId="90" fillId="0" borderId="0" xfId="0" applyFont="1" applyAlignment="1">
      <alignment horizontal="left" vertical="center"/>
    </xf>
    <xf numFmtId="0" fontId="90" fillId="0" borderId="0" xfId="0" applyFont="1" applyAlignment="1">
      <alignment horizontal="right" vertical="center"/>
    </xf>
    <xf numFmtId="0" fontId="25" fillId="0" borderId="68" xfId="127" applyFont="1" applyBorder="1" applyAlignment="1">
      <alignment horizontal="center" vertical="center" wrapText="1"/>
    </xf>
    <xf numFmtId="0" fontId="25" fillId="0" borderId="71" xfId="127" applyFont="1" applyBorder="1" applyAlignment="1">
      <alignment horizontal="center" vertical="center" wrapText="1"/>
    </xf>
    <xf numFmtId="0" fontId="25" fillId="0" borderId="17" xfId="127" applyFont="1" applyBorder="1" applyAlignment="1">
      <alignment horizontal="center" vertical="center" wrapText="1"/>
    </xf>
    <xf numFmtId="0" fontId="25" fillId="0" borderId="18" xfId="127" applyFont="1" applyBorder="1" applyAlignment="1">
      <alignment horizontal="center" vertical="center" wrapText="1"/>
    </xf>
    <xf numFmtId="1" fontId="35" fillId="0" borderId="43" xfId="127" applyNumberFormat="1" applyFont="1" applyBorder="1" applyAlignment="1">
      <alignment horizontal="center" vertical="center" shrinkToFit="1"/>
    </xf>
    <xf numFmtId="1" fontId="35" fillId="0" borderId="71" xfId="127" applyNumberFormat="1" applyFont="1" applyBorder="1" applyAlignment="1">
      <alignment horizontal="center" vertical="center" shrinkToFit="1"/>
    </xf>
    <xf numFmtId="1" fontId="35" fillId="0" borderId="17" xfId="127" applyNumberFormat="1" applyFont="1" applyBorder="1" applyAlignment="1">
      <alignment horizontal="center" vertical="center" shrinkToFit="1"/>
    </xf>
    <xf numFmtId="1" fontId="35" fillId="0" borderId="44" xfId="127" applyNumberFormat="1" applyFont="1" applyBorder="1" applyAlignment="1">
      <alignment horizontal="center" vertical="center" shrinkToFit="1"/>
    </xf>
    <xf numFmtId="1" fontId="130" fillId="0" borderId="17" xfId="0" applyNumberFormat="1" applyFont="1" applyBorder="1" applyAlignment="1">
      <alignment horizontal="center" vertical="center" shrinkToFit="1"/>
    </xf>
    <xf numFmtId="0" fontId="76" fillId="0" borderId="17" xfId="0" applyFont="1" applyBorder="1" applyAlignment="1">
      <alignment horizontal="center" vertical="center" wrapText="1"/>
    </xf>
    <xf numFmtId="166" fontId="102" fillId="0" borderId="17" xfId="0" applyNumberFormat="1" applyFont="1" applyBorder="1" applyAlignment="1">
      <alignment horizontal="center" vertical="center" shrinkToFit="1"/>
    </xf>
    <xf numFmtId="0" fontId="0" fillId="0" borderId="0" xfId="0" applyAlignment="1">
      <alignment horizontal="left" vertical="center"/>
    </xf>
    <xf numFmtId="0" fontId="115" fillId="0" borderId="17" xfId="125" applyFont="1" applyBorder="1" applyAlignment="1">
      <alignment horizontal="center" vertical="center"/>
    </xf>
    <xf numFmtId="0" fontId="115" fillId="0" borderId="18" xfId="125" applyFont="1" applyBorder="1" applyAlignment="1">
      <alignment horizontal="center" vertical="center"/>
    </xf>
    <xf numFmtId="0" fontId="115" fillId="0" borderId="30" xfId="125" applyFont="1" applyBorder="1" applyAlignment="1">
      <alignment horizontal="center" vertical="center"/>
    </xf>
    <xf numFmtId="0" fontId="115" fillId="0" borderId="17" xfId="125" applyFont="1" applyBorder="1" applyAlignment="1">
      <alignment vertical="center"/>
    </xf>
    <xf numFmtId="0" fontId="116" fillId="0" borderId="18" xfId="125" applyFont="1" applyBorder="1" applyAlignment="1">
      <alignment vertical="center"/>
    </xf>
    <xf numFmtId="0" fontId="116" fillId="0" borderId="30" xfId="125" applyFont="1" applyBorder="1" applyAlignment="1">
      <alignment vertical="center"/>
    </xf>
    <xf numFmtId="0" fontId="116" fillId="0" borderId="17" xfId="125" applyFont="1" applyBorder="1" applyAlignment="1">
      <alignment vertical="center" wrapText="1"/>
    </xf>
    <xf numFmtId="0" fontId="115" fillId="0" borderId="17" xfId="125" applyFont="1" applyBorder="1" applyAlignment="1">
      <alignment vertical="center" wrapText="1"/>
    </xf>
    <xf numFmtId="0" fontId="56" fillId="0" borderId="18" xfId="1" applyFont="1" applyBorder="1" applyAlignment="1">
      <alignment horizontal="left" vertical="center" wrapText="1"/>
    </xf>
    <xf numFmtId="0" fontId="58" fillId="0" borderId="18" xfId="1" applyFont="1" applyBorder="1" applyAlignment="1">
      <alignment horizontal="left" vertical="center" wrapText="1"/>
    </xf>
    <xf numFmtId="0" fontId="76" fillId="0" borderId="0" xfId="0" applyFont="1" applyAlignment="1">
      <alignment horizontal="left" vertical="center"/>
    </xf>
    <xf numFmtId="0" fontId="76" fillId="0" borderId="18" xfId="0" applyFont="1" applyBorder="1" applyAlignment="1">
      <alignment horizontal="left" vertical="center"/>
    </xf>
    <xf numFmtId="0" fontId="76" fillId="0" borderId="19" xfId="0" applyFont="1" applyBorder="1" applyAlignment="1">
      <alignment horizontal="left" vertical="center"/>
    </xf>
    <xf numFmtId="0" fontId="76" fillId="0" borderId="18" xfId="0" applyFont="1" applyBorder="1" applyAlignment="1">
      <alignment horizontal="left" vertical="center" wrapText="1"/>
    </xf>
    <xf numFmtId="10" fontId="76" fillId="0" borderId="18" xfId="124" applyNumberFormat="1" applyFont="1" applyBorder="1" applyAlignment="1">
      <alignment horizontal="center" vertical="center"/>
    </xf>
    <xf numFmtId="0" fontId="76" fillId="0" borderId="16" xfId="0" applyFont="1" applyBorder="1" applyAlignment="1">
      <alignment horizontal="left" vertical="center"/>
    </xf>
    <xf numFmtId="0" fontId="76" fillId="0" borderId="24" xfId="0" applyFont="1" applyBorder="1" applyAlignment="1">
      <alignment horizontal="left" vertical="center"/>
    </xf>
    <xf numFmtId="0" fontId="76" fillId="0" borderId="25" xfId="0" applyFont="1" applyBorder="1" applyAlignment="1">
      <alignment horizontal="left" vertical="center"/>
    </xf>
    <xf numFmtId="0" fontId="94" fillId="0" borderId="18" xfId="121" applyFont="1" applyBorder="1" applyAlignment="1">
      <alignment horizontal="center" vertical="center" wrapText="1"/>
    </xf>
    <xf numFmtId="0" fontId="26" fillId="0" borderId="18" xfId="127" applyFont="1" applyBorder="1" applyAlignment="1">
      <alignment horizontal="left" vertical="center" wrapText="1"/>
    </xf>
    <xf numFmtId="0" fontId="25" fillId="0" borderId="12" xfId="127" applyFont="1" applyBorder="1" applyAlignment="1">
      <alignment horizontal="left" vertical="center"/>
    </xf>
    <xf numFmtId="0" fontId="73" fillId="0" borderId="13" xfId="127" applyFont="1" applyBorder="1" applyAlignment="1">
      <alignment horizontal="left" vertical="center"/>
    </xf>
    <xf numFmtId="0" fontId="73" fillId="0" borderId="14" xfId="127" applyFont="1" applyBorder="1" applyAlignment="1">
      <alignment horizontal="left" vertical="center"/>
    </xf>
    <xf numFmtId="0" fontId="73" fillId="0" borderId="0" xfId="127" applyFont="1" applyAlignment="1">
      <alignment horizontal="left" vertical="center"/>
    </xf>
    <xf numFmtId="0" fontId="26" fillId="0" borderId="2" xfId="127" applyFont="1" applyBorder="1" applyAlignment="1">
      <alignment horizontal="left" vertical="center" wrapText="1"/>
    </xf>
    <xf numFmtId="0" fontId="26" fillId="0" borderId="2" xfId="127" applyFont="1" applyBorder="1" applyAlignment="1">
      <alignment vertical="center" wrapText="1"/>
    </xf>
    <xf numFmtId="0" fontId="73" fillId="0" borderId="0" xfId="127" applyFont="1" applyAlignment="1">
      <alignment horizontal="center" vertical="center"/>
    </xf>
    <xf numFmtId="0" fontId="26" fillId="0" borderId="0" xfId="127" applyFont="1" applyAlignment="1">
      <alignment horizontal="left" vertical="center" wrapText="1"/>
    </xf>
    <xf numFmtId="0" fontId="73" fillId="0" borderId="18" xfId="127" applyFont="1" applyBorder="1" applyAlignment="1">
      <alignment horizontal="left" vertical="center"/>
    </xf>
    <xf numFmtId="0" fontId="26" fillId="0" borderId="9" xfId="127" applyFont="1" applyBorder="1" applyAlignment="1">
      <alignment horizontal="left" vertical="center" wrapText="1"/>
    </xf>
    <xf numFmtId="0" fontId="26" fillId="0" borderId="5" xfId="127" applyFont="1" applyBorder="1" applyAlignment="1">
      <alignment horizontal="left" vertical="center" wrapText="1"/>
    </xf>
    <xf numFmtId="0" fontId="26" fillId="0" borderId="30" xfId="127" applyFont="1" applyBorder="1" applyAlignment="1">
      <alignment horizontal="left" vertical="center" wrapText="1"/>
    </xf>
    <xf numFmtId="0" fontId="55" fillId="0" borderId="0" xfId="127" applyFont="1" applyAlignment="1">
      <alignment horizontal="left" vertical="center"/>
    </xf>
    <xf numFmtId="0" fontId="76" fillId="0" borderId="15" xfId="0" applyFont="1" applyBorder="1" applyAlignment="1">
      <alignment horizontal="left" vertical="center"/>
    </xf>
    <xf numFmtId="0" fontId="90" fillId="0" borderId="15" xfId="0" applyFont="1" applyBorder="1" applyAlignment="1">
      <alignment horizontal="left" vertical="center"/>
    </xf>
    <xf numFmtId="0" fontId="111" fillId="0" borderId="18" xfId="0" applyFont="1" applyBorder="1" applyAlignment="1">
      <alignment horizontal="left" vertical="center"/>
    </xf>
    <xf numFmtId="0" fontId="76" fillId="0" borderId="12" xfId="0" applyFont="1" applyBorder="1" applyAlignment="1">
      <alignment horizontal="left" vertical="center"/>
    </xf>
    <xf numFmtId="0" fontId="76" fillId="0" borderId="13" xfId="0" applyFont="1" applyBorder="1" applyAlignment="1">
      <alignment horizontal="left" vertical="center"/>
    </xf>
    <xf numFmtId="0" fontId="76" fillId="0" borderId="23" xfId="0" applyFont="1" applyBorder="1" applyAlignment="1">
      <alignment horizontal="left" vertical="center"/>
    </xf>
    <xf numFmtId="0" fontId="129" fillId="0" borderId="18" xfId="126" applyFont="1" applyBorder="1" applyAlignment="1">
      <alignment horizontal="center" vertical="center" wrapText="1"/>
    </xf>
    <xf numFmtId="2" fontId="101" fillId="0" borderId="0" xfId="125" applyNumberFormat="1" applyFont="1"/>
    <xf numFmtId="2" fontId="16" fillId="0" borderId="0" xfId="121" applyNumberFormat="1" applyAlignment="1">
      <alignment wrapText="1"/>
    </xf>
    <xf numFmtId="0" fontId="67" fillId="0" borderId="18" xfId="0" applyFont="1" applyBorder="1" applyAlignment="1">
      <alignment horizontal="justify" vertical="center" wrapText="1"/>
    </xf>
    <xf numFmtId="0" fontId="136" fillId="0" borderId="18" xfId="0" applyFont="1" applyBorder="1" applyAlignment="1">
      <alignment vertical="center"/>
    </xf>
    <xf numFmtId="0" fontId="136" fillId="0" borderId="0" xfId="0" applyFont="1" applyAlignment="1">
      <alignment horizontal="center" vertical="center"/>
    </xf>
    <xf numFmtId="0" fontId="137" fillId="0" borderId="0" xfId="121" applyFont="1" applyAlignment="1">
      <alignment wrapText="1"/>
    </xf>
    <xf numFmtId="0" fontId="136" fillId="0" borderId="18" xfId="0" applyFont="1" applyBorder="1" applyAlignment="1">
      <alignment horizontal="justify" vertical="center"/>
    </xf>
    <xf numFmtId="0" fontId="138" fillId="0" borderId="18" xfId="0" applyFont="1" applyBorder="1" applyAlignment="1">
      <alignment horizontal="justify" vertical="center" wrapText="1"/>
    </xf>
    <xf numFmtId="0" fontId="136" fillId="0" borderId="18" xfId="0" applyFont="1" applyBorder="1" applyAlignment="1">
      <alignment horizontal="justify" vertical="center" wrapText="1"/>
    </xf>
    <xf numFmtId="0" fontId="68" fillId="0" borderId="18" xfId="0" applyFont="1" applyBorder="1" applyAlignment="1">
      <alignment horizontal="center" vertical="center" wrapText="1"/>
    </xf>
    <xf numFmtId="0" fontId="137" fillId="0" borderId="18" xfId="121" applyFont="1" applyBorder="1" applyAlignment="1">
      <alignment horizontal="center" vertical="center" wrapText="1"/>
    </xf>
    <xf numFmtId="0" fontId="137" fillId="0" borderId="18" xfId="121" applyFont="1" applyBorder="1" applyAlignment="1">
      <alignment wrapText="1"/>
    </xf>
    <xf numFmtId="0" fontId="67" fillId="0" borderId="18" xfId="0" applyFont="1" applyBorder="1" applyAlignment="1">
      <alignment horizontal="justify" vertical="center"/>
    </xf>
    <xf numFmtId="2" fontId="137" fillId="0" borderId="18" xfId="121" applyNumberFormat="1" applyFont="1" applyBorder="1" applyAlignment="1">
      <alignment wrapText="1"/>
    </xf>
    <xf numFmtId="0" fontId="67" fillId="0" borderId="0" xfId="0" applyFont="1" applyAlignment="1">
      <alignment horizontal="justify" vertical="center"/>
    </xf>
    <xf numFmtId="0" fontId="68" fillId="0" borderId="18" xfId="0" applyFont="1" applyBorder="1" applyAlignment="1">
      <alignment horizontal="justify" vertical="center" wrapText="1"/>
    </xf>
    <xf numFmtId="0" fontId="136" fillId="0" borderId="0" xfId="0" applyFont="1" applyAlignment="1">
      <alignment horizontal="justify" vertical="center"/>
    </xf>
    <xf numFmtId="0" fontId="68" fillId="0" borderId="18" xfId="0" applyFont="1" applyBorder="1" applyAlignment="1">
      <alignment horizontal="justify" vertical="center"/>
    </xf>
    <xf numFmtId="0" fontId="68" fillId="0" borderId="0" xfId="0" applyFont="1" applyAlignment="1">
      <alignment horizontal="justify" vertical="center"/>
    </xf>
    <xf numFmtId="2" fontId="68" fillId="0" borderId="18" xfId="0" applyNumberFormat="1" applyFont="1" applyBorder="1" applyAlignment="1">
      <alignment horizontal="center"/>
    </xf>
    <xf numFmtId="2" fontId="139" fillId="0" borderId="18" xfId="121" applyNumberFormat="1" applyFont="1" applyBorder="1" applyAlignment="1">
      <alignment horizontal="center" vertical="center" wrapText="1"/>
    </xf>
    <xf numFmtId="2" fontId="137" fillId="0" borderId="0" xfId="121" applyNumberFormat="1" applyFont="1" applyAlignment="1">
      <alignment wrapText="1"/>
    </xf>
    <xf numFmtId="0" fontId="140" fillId="0" borderId="17" xfId="121" applyFont="1" applyBorder="1" applyAlignment="1">
      <alignment horizontal="center" vertical="center" wrapText="1"/>
    </xf>
    <xf numFmtId="0" fontId="140" fillId="0" borderId="18" xfId="121" applyFont="1" applyBorder="1" applyAlignment="1">
      <alignment vertical="center" wrapText="1"/>
    </xf>
    <xf numFmtId="0" fontId="141" fillId="0" borderId="18" xfId="121" applyFont="1" applyBorder="1" applyAlignment="1">
      <alignment wrapText="1"/>
    </xf>
    <xf numFmtId="0" fontId="56" fillId="0" borderId="0" xfId="1" applyFont="1" applyAlignment="1">
      <alignment horizontal="center" vertical="center"/>
    </xf>
    <xf numFmtId="2" fontId="56" fillId="0" borderId="0" xfId="1" applyNumberFormat="1" applyFont="1" applyAlignment="1">
      <alignment horizontal="center" vertical="center"/>
    </xf>
    <xf numFmtId="2" fontId="56" fillId="0" borderId="0" xfId="1" applyNumberFormat="1" applyFont="1" applyAlignment="1">
      <alignment horizontal="center"/>
    </xf>
    <xf numFmtId="43" fontId="56" fillId="0" borderId="0" xfId="10" applyFont="1" applyAlignment="1">
      <alignment horizontal="center" vertical="center"/>
    </xf>
    <xf numFmtId="2" fontId="0" fillId="0" borderId="18" xfId="0" applyNumberFormat="1" applyBorder="1" applyAlignment="1">
      <alignment horizontal="center"/>
    </xf>
    <xf numFmtId="2" fontId="56" fillId="0" borderId="0" xfId="2" applyNumberFormat="1" applyFont="1" applyAlignment="1">
      <alignment horizontal="center"/>
    </xf>
    <xf numFmtId="10" fontId="56" fillId="0" borderId="0" xfId="3" applyNumberFormat="1" applyFont="1" applyAlignment="1">
      <alignment horizontal="center"/>
    </xf>
    <xf numFmtId="2" fontId="58" fillId="0" borderId="0" xfId="2" applyNumberFormat="1" applyFont="1" applyAlignment="1">
      <alignment horizontal="center"/>
    </xf>
    <xf numFmtId="169" fontId="58" fillId="0" borderId="0" xfId="2" applyNumberFormat="1" applyFont="1" applyAlignment="1">
      <alignment horizontal="center"/>
    </xf>
    <xf numFmtId="170" fontId="58" fillId="0" borderId="0" xfId="2" applyNumberFormat="1" applyFont="1" applyAlignment="1">
      <alignment horizontal="center"/>
    </xf>
    <xf numFmtId="170" fontId="58" fillId="0" borderId="0" xfId="1" applyNumberFormat="1" applyFont="1" applyAlignment="1">
      <alignment horizontal="center" vertical="center"/>
    </xf>
    <xf numFmtId="2" fontId="56" fillId="0" borderId="18" xfId="2" applyNumberFormat="1" applyFont="1" applyBorder="1" applyAlignment="1">
      <alignment horizontal="center" vertical="center"/>
    </xf>
    <xf numFmtId="10" fontId="56" fillId="0" borderId="18" xfId="2" applyNumberFormat="1" applyFont="1" applyBorder="1" applyAlignment="1">
      <alignment horizontal="center" vertical="center"/>
    </xf>
    <xf numFmtId="10" fontId="56" fillId="0" borderId="18" xfId="3" applyNumberFormat="1" applyFont="1" applyBorder="1" applyAlignment="1">
      <alignment horizontal="center" vertical="center"/>
    </xf>
    <xf numFmtId="169" fontId="58" fillId="0" borderId="18" xfId="2" applyNumberFormat="1" applyFont="1" applyBorder="1" applyAlignment="1">
      <alignment horizontal="center" vertical="center"/>
    </xf>
    <xf numFmtId="2" fontId="56" fillId="0" borderId="18" xfId="1" applyNumberFormat="1" applyFont="1" applyBorder="1" applyAlignment="1">
      <alignment horizontal="center" vertical="center"/>
    </xf>
    <xf numFmtId="166" fontId="58" fillId="0" borderId="18" xfId="1" applyNumberFormat="1" applyFont="1" applyBorder="1" applyAlignment="1">
      <alignment horizontal="center" vertical="center"/>
    </xf>
    <xf numFmtId="2" fontId="76" fillId="0" borderId="18" xfId="0" applyNumberFormat="1" applyFont="1" applyBorder="1" applyAlignment="1">
      <alignment horizontal="center" wrapText="1"/>
    </xf>
    <xf numFmtId="10" fontId="76" fillId="0" borderId="18" xfId="0" applyNumberFormat="1" applyFont="1" applyBorder="1" applyAlignment="1">
      <alignment horizontal="center" vertical="center" wrapText="1"/>
    </xf>
    <xf numFmtId="0" fontId="0" fillId="0" borderId="18" xfId="0" applyBorder="1" applyAlignment="1">
      <alignment horizontal="center"/>
    </xf>
    <xf numFmtId="0" fontId="90" fillId="0" borderId="82" xfId="133" applyFont="1" applyBorder="1" applyAlignment="1">
      <alignment vertical="center"/>
    </xf>
    <xf numFmtId="0" fontId="90" fillId="0" borderId="0" xfId="133" applyFont="1" applyAlignment="1">
      <alignment horizontal="left" vertical="center"/>
    </xf>
    <xf numFmtId="0" fontId="76" fillId="0" borderId="0" xfId="133" applyFont="1" applyAlignment="1">
      <alignment horizontal="center" vertical="center"/>
    </xf>
    <xf numFmtId="0" fontId="56" fillId="0" borderId="1" xfId="133" applyFont="1" applyBorder="1" applyAlignment="1">
      <alignment horizontal="center" vertical="center" wrapText="1"/>
    </xf>
    <xf numFmtId="0" fontId="76" fillId="0" borderId="1" xfId="133" applyFont="1" applyBorder="1" applyAlignment="1">
      <alignment horizontal="left" vertical="center" wrapText="1"/>
    </xf>
    <xf numFmtId="0" fontId="76" fillId="0" borderId="0" xfId="133" applyFont="1" applyAlignment="1">
      <alignment horizontal="left" vertical="center"/>
    </xf>
    <xf numFmtId="0" fontId="56" fillId="0" borderId="1" xfId="133" applyFont="1" applyBorder="1" applyAlignment="1">
      <alignment horizontal="left" vertical="center" wrapText="1"/>
    </xf>
    <xf numFmtId="1" fontId="76" fillId="0" borderId="1" xfId="133" applyNumberFormat="1" applyFont="1" applyBorder="1" applyAlignment="1">
      <alignment horizontal="center" vertical="center" shrinkToFit="1"/>
    </xf>
    <xf numFmtId="0" fontId="76" fillId="0" borderId="0" xfId="133" applyFont="1" applyAlignment="1">
      <alignment horizontal="left" vertical="top"/>
    </xf>
    <xf numFmtId="0" fontId="56" fillId="0" borderId="1" xfId="133" applyFont="1" applyBorder="1" applyAlignment="1">
      <alignment horizontal="center" vertical="top" wrapText="1"/>
    </xf>
    <xf numFmtId="0" fontId="58" fillId="0" borderId="1" xfId="133" applyFont="1" applyBorder="1" applyAlignment="1">
      <alignment horizontal="center" vertical="top" wrapText="1"/>
    </xf>
    <xf numFmtId="0" fontId="76" fillId="0" borderId="1" xfId="133" applyFont="1" applyBorder="1" applyAlignment="1">
      <alignment horizontal="center" vertical="center" wrapText="1"/>
    </xf>
    <xf numFmtId="0" fontId="76" fillId="0" borderId="7" xfId="133" applyFont="1" applyBorder="1" applyAlignment="1">
      <alignment horizontal="center" vertical="center" wrapText="1"/>
    </xf>
    <xf numFmtId="0" fontId="56" fillId="0" borderId="2" xfId="133" applyFont="1" applyBorder="1" applyAlignment="1">
      <alignment horizontal="center" vertical="center" wrapText="1"/>
    </xf>
    <xf numFmtId="2" fontId="76" fillId="0" borderId="1" xfId="133" applyNumberFormat="1" applyFont="1" applyBorder="1" applyAlignment="1">
      <alignment horizontal="center" wrapText="1"/>
    </xf>
    <xf numFmtId="2" fontId="76" fillId="0" borderId="1" xfId="133" applyNumberFormat="1" applyFont="1" applyBorder="1" applyAlignment="1">
      <alignment horizontal="center" vertical="center" wrapText="1"/>
    </xf>
    <xf numFmtId="2" fontId="0" fillId="0" borderId="0" xfId="0" applyNumberFormat="1" applyAlignment="1">
      <alignment horizontal="center" vertical="top"/>
    </xf>
    <xf numFmtId="0" fontId="76" fillId="0" borderId="0" xfId="133" applyFont="1" applyAlignment="1">
      <alignment horizontal="left" wrapText="1"/>
    </xf>
    <xf numFmtId="0" fontId="76" fillId="0" borderId="18" xfId="133" applyFont="1" applyBorder="1" applyAlignment="1">
      <alignment horizontal="center" vertical="center" wrapText="1"/>
    </xf>
    <xf numFmtId="0" fontId="56" fillId="0" borderId="0" xfId="133" applyFont="1" applyAlignment="1">
      <alignment horizontal="left" vertical="top"/>
    </xf>
    <xf numFmtId="0" fontId="125" fillId="0" borderId="0" xfId="133" applyFont="1" applyAlignment="1">
      <alignment horizontal="left" vertical="top"/>
    </xf>
    <xf numFmtId="0" fontId="76" fillId="0" borderId="0" xfId="133" applyFont="1" applyAlignment="1">
      <alignment horizontal="left" vertical="center" wrapText="1"/>
    </xf>
    <xf numFmtId="0" fontId="56" fillId="0" borderId="18" xfId="133" applyFont="1" applyBorder="1" applyAlignment="1">
      <alignment horizontal="center" vertical="top" wrapText="1"/>
    </xf>
    <xf numFmtId="0" fontId="76" fillId="0" borderId="18" xfId="133" applyFont="1" applyBorder="1" applyAlignment="1">
      <alignment horizontal="left" vertical="center" wrapText="1"/>
    </xf>
    <xf numFmtId="2" fontId="76" fillId="0" borderId="2" xfId="133" applyNumberFormat="1" applyFont="1" applyBorder="1" applyAlignment="1">
      <alignment horizontal="center" vertical="center" wrapText="1"/>
    </xf>
    <xf numFmtId="166" fontId="76" fillId="0" borderId="18" xfId="133" applyNumberFormat="1" applyFont="1" applyBorder="1" applyAlignment="1">
      <alignment horizontal="center" vertical="center"/>
    </xf>
    <xf numFmtId="0" fontId="76" fillId="0" borderId="18" xfId="133" applyFont="1" applyBorder="1" applyAlignment="1">
      <alignment horizontal="center" vertical="top"/>
    </xf>
    <xf numFmtId="2" fontId="76" fillId="0" borderId="18" xfId="133" applyNumberFormat="1" applyFont="1" applyBorder="1" applyAlignment="1">
      <alignment horizontal="center" vertical="center" wrapText="1"/>
    </xf>
    <xf numFmtId="2" fontId="76" fillId="0" borderId="18" xfId="133" applyNumberFormat="1" applyFont="1" applyBorder="1" applyAlignment="1">
      <alignment horizontal="center" wrapText="1"/>
    </xf>
    <xf numFmtId="2" fontId="90" fillId="0" borderId="18" xfId="133" applyNumberFormat="1" applyFont="1" applyBorder="1" applyAlignment="1">
      <alignment horizontal="center" wrapText="1"/>
    </xf>
    <xf numFmtId="0" fontId="56" fillId="0" borderId="18" xfId="1" applyFont="1" applyBorder="1"/>
    <xf numFmtId="4" fontId="114" fillId="7" borderId="18" xfId="4" applyNumberFormat="1" applyFont="1" applyFill="1" applyBorder="1" applyAlignment="1">
      <alignment horizontal="center" vertical="center"/>
    </xf>
    <xf numFmtId="3" fontId="114" fillId="7" borderId="18" xfId="4" applyNumberFormat="1" applyFont="1" applyFill="1" applyBorder="1" applyAlignment="1">
      <alignment horizontal="center" vertical="center"/>
    </xf>
    <xf numFmtId="0" fontId="58" fillId="0" borderId="18" xfId="1" applyFont="1" applyBorder="1"/>
    <xf numFmtId="10" fontId="58" fillId="0" borderId="18" xfId="124" applyNumberFormat="1" applyFont="1" applyBorder="1" applyAlignment="1">
      <alignment horizontal="center" vertical="center"/>
    </xf>
    <xf numFmtId="0" fontId="56" fillId="0" borderId="18" xfId="1" applyFont="1" applyBorder="1" applyAlignment="1">
      <alignment horizontal="center" vertical="center" wrapText="1"/>
    </xf>
    <xf numFmtId="10" fontId="56" fillId="0" borderId="18" xfId="124" quotePrefix="1" applyNumberFormat="1" applyFont="1" applyBorder="1" applyAlignment="1">
      <alignment horizontal="center" vertical="center"/>
    </xf>
    <xf numFmtId="10" fontId="56" fillId="0" borderId="18" xfId="124" applyNumberFormat="1" applyFont="1" applyBorder="1" applyAlignment="1">
      <alignment horizontal="center" vertical="center"/>
    </xf>
    <xf numFmtId="9" fontId="56" fillId="0" borderId="0" xfId="1" applyNumberFormat="1" applyFont="1"/>
    <xf numFmtId="0" fontId="76" fillId="0" borderId="13" xfId="133" applyFont="1" applyBorder="1" applyAlignment="1">
      <alignment horizontal="left" vertical="top"/>
    </xf>
    <xf numFmtId="0" fontId="76" fillId="0" borderId="14" xfId="133" applyFont="1" applyBorder="1" applyAlignment="1">
      <alignment horizontal="left" vertical="top"/>
    </xf>
    <xf numFmtId="0" fontId="76" fillId="0" borderId="15" xfId="133" applyFont="1" applyBorder="1" applyAlignment="1">
      <alignment horizontal="left" vertical="top"/>
    </xf>
    <xf numFmtId="0" fontId="76" fillId="0" borderId="16" xfId="133" applyFont="1" applyBorder="1" applyAlignment="1">
      <alignment horizontal="left" vertical="top"/>
    </xf>
    <xf numFmtId="0" fontId="90" fillId="0" borderId="15" xfId="133" applyFont="1" applyBorder="1" applyAlignment="1">
      <alignment horizontal="left" vertical="center"/>
    </xf>
    <xf numFmtId="0" fontId="56" fillId="0" borderId="19" xfId="133" applyFont="1" applyBorder="1" applyAlignment="1">
      <alignment horizontal="center" vertical="top" wrapText="1"/>
    </xf>
    <xf numFmtId="0" fontId="58" fillId="0" borderId="19" xfId="133" applyFont="1" applyBorder="1" applyAlignment="1">
      <alignment horizontal="center" vertical="top" wrapText="1"/>
    </xf>
    <xf numFmtId="0" fontId="76" fillId="0" borderId="17" xfId="133" applyFont="1" applyBorder="1" applyAlignment="1">
      <alignment horizontal="left" vertical="top"/>
    </xf>
    <xf numFmtId="166" fontId="76" fillId="0" borderId="19" xfId="133" applyNumberFormat="1" applyFont="1" applyBorder="1" applyAlignment="1">
      <alignment horizontal="center" vertical="center"/>
    </xf>
    <xf numFmtId="0" fontId="76" fillId="0" borderId="17" xfId="133" applyFont="1" applyBorder="1" applyAlignment="1">
      <alignment horizontal="left" vertical="top" wrapText="1"/>
    </xf>
    <xf numFmtId="0" fontId="76" fillId="0" borderId="23" xfId="133" applyFont="1" applyBorder="1" applyAlignment="1">
      <alignment horizontal="left" vertical="top"/>
    </xf>
    <xf numFmtId="0" fontId="76" fillId="0" borderId="24" xfId="133" applyFont="1" applyBorder="1" applyAlignment="1">
      <alignment horizontal="left" vertical="top"/>
    </xf>
    <xf numFmtId="0" fontId="76" fillId="0" borderId="25" xfId="133" applyFont="1" applyBorder="1" applyAlignment="1">
      <alignment horizontal="left" vertical="top"/>
    </xf>
    <xf numFmtId="0" fontId="76" fillId="0" borderId="12" xfId="133" applyFont="1" applyBorder="1" applyAlignment="1">
      <alignment horizontal="left" vertical="top"/>
    </xf>
    <xf numFmtId="0" fontId="76" fillId="0" borderId="17" xfId="133" applyFont="1" applyBorder="1" applyAlignment="1">
      <alignment horizontal="center" vertical="center"/>
    </xf>
    <xf numFmtId="0" fontId="76" fillId="0" borderId="17" xfId="133" applyFont="1" applyBorder="1" applyAlignment="1">
      <alignment horizontal="center" vertical="top"/>
    </xf>
    <xf numFmtId="0" fontId="76" fillId="0" borderId="16" xfId="133" applyFont="1" applyBorder="1" applyAlignment="1">
      <alignment horizontal="left" wrapText="1"/>
    </xf>
    <xf numFmtId="0" fontId="144" fillId="0" borderId="12" xfId="133" applyFont="1" applyBorder="1" applyAlignment="1">
      <alignment horizontal="left" vertical="center"/>
    </xf>
    <xf numFmtId="0" fontId="125" fillId="0" borderId="13" xfId="133" applyFont="1" applyBorder="1" applyAlignment="1">
      <alignment horizontal="left" vertical="top"/>
    </xf>
    <xf numFmtId="0" fontId="143" fillId="0" borderId="15" xfId="133" applyFont="1" applyBorder="1" applyAlignment="1">
      <alignment horizontal="left" vertical="center"/>
    </xf>
    <xf numFmtId="0" fontId="145" fillId="0" borderId="15" xfId="133" applyFont="1" applyBorder="1" applyAlignment="1">
      <alignment horizontal="left" vertical="center"/>
    </xf>
    <xf numFmtId="0" fontId="146" fillId="0" borderId="0" xfId="133" applyFont="1" applyAlignment="1">
      <alignment horizontal="left" vertical="top"/>
    </xf>
    <xf numFmtId="0" fontId="58" fillId="6" borderId="68" xfId="133" applyFont="1" applyFill="1" applyBorder="1" applyAlignment="1">
      <alignment horizontal="left" vertical="top" wrapText="1" indent="8"/>
    </xf>
    <xf numFmtId="0" fontId="56" fillId="0" borderId="44" xfId="133" applyFont="1" applyBorder="1" applyAlignment="1">
      <alignment horizontal="center" vertical="top" wrapText="1"/>
    </xf>
    <xf numFmtId="0" fontId="56" fillId="0" borderId="45" xfId="133" applyFont="1" applyBorder="1" applyAlignment="1">
      <alignment horizontal="center" vertical="top" wrapText="1"/>
    </xf>
    <xf numFmtId="0" fontId="58" fillId="0" borderId="44" xfId="133" applyFont="1" applyBorder="1" applyAlignment="1">
      <alignment horizontal="center" vertical="top" wrapText="1"/>
    </xf>
    <xf numFmtId="0" fontId="58" fillId="0" borderId="45" xfId="133" applyFont="1" applyBorder="1" applyAlignment="1">
      <alignment horizontal="center" vertical="top" wrapText="1"/>
    </xf>
    <xf numFmtId="0" fontId="91" fillId="0" borderId="44" xfId="133" applyFont="1" applyBorder="1" applyAlignment="1">
      <alignment horizontal="left" vertical="center" wrapText="1"/>
    </xf>
    <xf numFmtId="0" fontId="76" fillId="0" borderId="45" xfId="133" applyFont="1" applyBorder="1" applyAlignment="1">
      <alignment horizontal="left" vertical="center" wrapText="1"/>
    </xf>
    <xf numFmtId="0" fontId="76" fillId="0" borderId="44" xfId="133" applyFont="1" applyBorder="1" applyAlignment="1">
      <alignment horizontal="left" vertical="center" wrapText="1"/>
    </xf>
    <xf numFmtId="2" fontId="76" fillId="0" borderId="45" xfId="133" applyNumberFormat="1" applyFont="1" applyBorder="1" applyAlignment="1">
      <alignment horizontal="center" wrapText="1"/>
    </xf>
    <xf numFmtId="0" fontId="76" fillId="0" borderId="44" xfId="133" applyFont="1" applyBorder="1" applyAlignment="1">
      <alignment horizontal="left" wrapText="1"/>
    </xf>
    <xf numFmtId="0" fontId="76" fillId="0" borderId="45" xfId="133" applyFont="1" applyBorder="1" applyAlignment="1">
      <alignment horizontal="center" vertical="center" wrapText="1"/>
    </xf>
    <xf numFmtId="0" fontId="73" fillId="0" borderId="15" xfId="0" applyFont="1" applyBorder="1" applyAlignment="1">
      <alignment horizontal="left" vertical="top" wrapText="1"/>
    </xf>
    <xf numFmtId="0" fontId="90" fillId="0" borderId="44" xfId="133" applyFont="1" applyBorder="1" applyAlignment="1">
      <alignment horizontal="left" vertical="center" wrapText="1"/>
    </xf>
    <xf numFmtId="2" fontId="76" fillId="0" borderId="45" xfId="133" applyNumberFormat="1" applyFont="1" applyBorder="1" applyAlignment="1">
      <alignment horizontal="center" vertical="center" wrapText="1"/>
    </xf>
    <xf numFmtId="2" fontId="0" fillId="0" borderId="16" xfId="0" applyNumberFormat="1" applyBorder="1" applyAlignment="1">
      <alignment horizontal="center" vertical="top"/>
    </xf>
    <xf numFmtId="0" fontId="90" fillId="0" borderId="71" xfId="133" applyFont="1" applyBorder="1" applyAlignment="1">
      <alignment horizontal="left" vertical="center" wrapText="1"/>
    </xf>
    <xf numFmtId="0" fontId="76" fillId="0" borderId="86" xfId="133" applyFont="1" applyBorder="1" applyAlignment="1">
      <alignment horizontal="center" vertical="center" wrapText="1"/>
    </xf>
    <xf numFmtId="0" fontId="76" fillId="0" borderId="17" xfId="133" applyFont="1" applyBorder="1" applyAlignment="1">
      <alignment horizontal="left" wrapText="1"/>
    </xf>
    <xf numFmtId="0" fontId="76" fillId="0" borderId="19" xfId="133" applyFont="1" applyBorder="1" applyAlignment="1">
      <alignment horizontal="center" vertical="center" wrapText="1"/>
    </xf>
    <xf numFmtId="0" fontId="76" fillId="0" borderId="15" xfId="133" applyFont="1" applyBorder="1" applyAlignment="1">
      <alignment horizontal="left" wrapText="1"/>
    </xf>
    <xf numFmtId="0" fontId="76" fillId="0" borderId="15" xfId="133" applyFont="1" applyBorder="1" applyAlignment="1">
      <alignment horizontal="left" vertical="center"/>
    </xf>
    <xf numFmtId="0" fontId="76" fillId="0" borderId="16" xfId="133" applyFont="1" applyBorder="1" applyAlignment="1">
      <alignment horizontal="left" vertical="center"/>
    </xf>
    <xf numFmtId="0" fontId="76" fillId="0" borderId="87" xfId="133" applyFont="1" applyBorder="1" applyAlignment="1">
      <alignment vertical="center"/>
    </xf>
    <xf numFmtId="0" fontId="56" fillId="0" borderId="45" xfId="133" applyFont="1" applyBorder="1" applyAlignment="1">
      <alignment horizontal="center" vertical="center" wrapText="1"/>
    </xf>
    <xf numFmtId="0" fontId="56" fillId="0" borderId="19" xfId="1" applyFont="1" applyBorder="1" applyAlignment="1">
      <alignment horizontal="center" vertical="center"/>
    </xf>
    <xf numFmtId="180" fontId="76" fillId="0" borderId="44" xfId="133" applyNumberFormat="1" applyFont="1" applyBorder="1" applyAlignment="1">
      <alignment horizontal="center" vertical="center" shrinkToFit="1"/>
    </xf>
    <xf numFmtId="0" fontId="56" fillId="0" borderId="15" xfId="133" applyFont="1" applyBorder="1" applyAlignment="1">
      <alignment horizontal="left" vertical="center"/>
    </xf>
    <xf numFmtId="0" fontId="56" fillId="0" borderId="16" xfId="133" applyFont="1" applyBorder="1" applyAlignment="1">
      <alignment horizontal="left" vertical="center"/>
    </xf>
    <xf numFmtId="0" fontId="76" fillId="0" borderId="23" xfId="133" applyFont="1" applyBorder="1" applyAlignment="1">
      <alignment horizontal="left" vertical="center"/>
    </xf>
    <xf numFmtId="0" fontId="76" fillId="0" borderId="24" xfId="133" applyFont="1" applyBorder="1" applyAlignment="1">
      <alignment horizontal="left" vertical="center"/>
    </xf>
    <xf numFmtId="0" fontId="76" fillId="0" borderId="25" xfId="133" applyFont="1" applyBorder="1" applyAlignment="1">
      <alignment horizontal="left" vertical="center"/>
    </xf>
    <xf numFmtId="2" fontId="90" fillId="0" borderId="18" xfId="133" applyNumberFormat="1" applyFont="1" applyBorder="1" applyAlignment="1">
      <alignment horizontal="center" vertical="center" wrapText="1"/>
    </xf>
    <xf numFmtId="181" fontId="56" fillId="0" borderId="0" xfId="1" applyNumberFormat="1" applyFont="1"/>
    <xf numFmtId="0" fontId="0" fillId="0" borderId="0" xfId="0" applyAlignment="1">
      <alignment horizontal="left" vertical="top" wrapText="1"/>
    </xf>
    <xf numFmtId="2" fontId="0" fillId="0" borderId="0" xfId="0" applyNumberFormat="1" applyAlignment="1">
      <alignment horizontal="center" vertical="center"/>
    </xf>
    <xf numFmtId="0" fontId="90" fillId="0" borderId="18" xfId="133" applyFont="1" applyBorder="1" applyAlignment="1">
      <alignment vertical="center" wrapText="1"/>
    </xf>
    <xf numFmtId="2" fontId="10" fillId="0" borderId="0" xfId="126" applyNumberFormat="1"/>
    <xf numFmtId="2" fontId="76" fillId="0" borderId="0" xfId="133" applyNumberFormat="1" applyFont="1" applyAlignment="1">
      <alignment horizontal="left" vertical="top"/>
    </xf>
    <xf numFmtId="2" fontId="10" fillId="0" borderId="16" xfId="126" applyNumberFormat="1" applyBorder="1"/>
    <xf numFmtId="2" fontId="4" fillId="0" borderId="0" xfId="126" applyNumberFormat="1" applyFont="1"/>
    <xf numFmtId="2" fontId="94" fillId="0" borderId="0" xfId="126" applyNumberFormat="1" applyFont="1"/>
    <xf numFmtId="0" fontId="3" fillId="0" borderId="0" xfId="126" applyFont="1"/>
    <xf numFmtId="9" fontId="10" fillId="0" borderId="0" xfId="124" applyFont="1"/>
    <xf numFmtId="0" fontId="0" fillId="0" borderId="0" xfId="0" applyBorder="1" applyAlignment="1">
      <alignment horizontal="left" vertical="top"/>
    </xf>
    <xf numFmtId="0" fontId="2" fillId="0" borderId="0" xfId="126" applyFont="1"/>
    <xf numFmtId="2" fontId="127" fillId="0" borderId="18" xfId="126" applyNumberFormat="1" applyFont="1" applyBorder="1" applyAlignment="1">
      <alignment horizontal="center" vertical="center"/>
    </xf>
    <xf numFmtId="2" fontId="56" fillId="0" borderId="30" xfId="1" applyNumberFormat="1" applyFont="1" applyBorder="1" applyAlignment="1">
      <alignment horizontal="center" vertical="center"/>
    </xf>
    <xf numFmtId="2" fontId="56" fillId="0" borderId="19" xfId="1" applyNumberFormat="1" applyFont="1" applyBorder="1" applyAlignment="1">
      <alignment horizontal="center" vertical="center"/>
    </xf>
    <xf numFmtId="10" fontId="56" fillId="0" borderId="30" xfId="3" applyNumberFormat="1" applyFont="1" applyBorder="1" applyAlignment="1">
      <alignment horizontal="center" vertical="center"/>
    </xf>
    <xf numFmtId="2" fontId="58" fillId="0" borderId="18" xfId="1" applyNumberFormat="1" applyFont="1" applyBorder="1" applyAlignment="1">
      <alignment horizontal="center" vertical="center"/>
    </xf>
    <xf numFmtId="2" fontId="58" fillId="0" borderId="30" xfId="1" applyNumberFormat="1" applyFont="1" applyBorder="1" applyAlignment="1">
      <alignment horizontal="center" vertical="center"/>
    </xf>
    <xf numFmtId="2" fontId="58" fillId="0" borderId="19" xfId="1" applyNumberFormat="1" applyFont="1" applyBorder="1" applyAlignment="1">
      <alignment horizontal="center" vertical="center"/>
    </xf>
    <xf numFmtId="10" fontId="90" fillId="0" borderId="18" xfId="0" applyNumberFormat="1" applyFont="1" applyBorder="1" applyAlignment="1">
      <alignment horizontal="center" vertical="center"/>
    </xf>
    <xf numFmtId="170" fontId="76" fillId="0" borderId="1" xfId="133" applyNumberFormat="1" applyFont="1" applyBorder="1" applyAlignment="1">
      <alignment horizontal="center" vertical="center" wrapText="1"/>
    </xf>
    <xf numFmtId="170" fontId="76" fillId="0" borderId="45" xfId="133" applyNumberFormat="1" applyFont="1" applyBorder="1" applyAlignment="1">
      <alignment horizontal="center" vertical="center" wrapText="1"/>
    </xf>
    <xf numFmtId="166" fontId="56" fillId="0" borderId="0" xfId="1" applyNumberFormat="1" applyFont="1"/>
    <xf numFmtId="0" fontId="114" fillId="0" borderId="0" xfId="0" applyFont="1" applyFill="1" applyBorder="1" applyAlignment="1">
      <alignment horizontal="center" vertical="center"/>
    </xf>
    <xf numFmtId="0" fontId="108" fillId="0" borderId="0" xfId="0" applyFont="1" applyFill="1" applyAlignment="1">
      <alignment horizontal="center" vertical="center"/>
    </xf>
    <xf numFmtId="0" fontId="114" fillId="0" borderId="0" xfId="0" applyFont="1" applyFill="1" applyAlignment="1">
      <alignment horizontal="center" vertical="center"/>
    </xf>
    <xf numFmtId="0" fontId="149" fillId="0" borderId="0" xfId="0" applyFont="1" applyFill="1" applyAlignment="1">
      <alignment horizontal="center" vertical="center"/>
    </xf>
    <xf numFmtId="0" fontId="114" fillId="0" borderId="0" xfId="0" applyFont="1" applyFill="1" applyAlignment="1">
      <alignment horizontal="center" vertical="center" wrapText="1"/>
    </xf>
    <xf numFmtId="0" fontId="141" fillId="0" borderId="0" xfId="0" applyFont="1" applyFill="1" applyAlignment="1">
      <alignment horizontal="center" vertical="center"/>
    </xf>
    <xf numFmtId="17" fontId="114" fillId="7" borderId="30" xfId="0" applyNumberFormat="1" applyFont="1" applyFill="1" applyBorder="1" applyAlignment="1">
      <alignment horizontal="center" vertical="center"/>
    </xf>
    <xf numFmtId="4" fontId="114" fillId="7" borderId="0" xfId="4" applyNumberFormat="1" applyFont="1" applyFill="1" applyBorder="1" applyAlignment="1">
      <alignment horizontal="center" vertical="center"/>
    </xf>
    <xf numFmtId="2" fontId="76" fillId="0" borderId="1" xfId="133" applyNumberFormat="1" applyFont="1" applyFill="1" applyBorder="1" applyAlignment="1">
      <alignment horizontal="center" vertical="center" wrapText="1"/>
    </xf>
    <xf numFmtId="2" fontId="76" fillId="0" borderId="45" xfId="133" applyNumberFormat="1" applyFont="1" applyFill="1" applyBorder="1" applyAlignment="1">
      <alignment horizontal="center" vertical="center" wrapText="1"/>
    </xf>
    <xf numFmtId="0" fontId="73" fillId="0" borderId="0" xfId="0" applyFont="1" applyFill="1" applyBorder="1" applyAlignment="1">
      <alignment vertical="top" wrapText="1"/>
    </xf>
    <xf numFmtId="0" fontId="0" fillId="0" borderId="0" xfId="0" applyFill="1" applyBorder="1" applyAlignment="1">
      <alignment horizontal="left" vertical="top"/>
    </xf>
    <xf numFmtId="0" fontId="150" fillId="0" borderId="0" xfId="0" applyFont="1" applyFill="1" applyBorder="1" applyAlignment="1">
      <alignment vertical="top" wrapText="1"/>
    </xf>
    <xf numFmtId="0" fontId="0" fillId="0" borderId="18" xfId="0" applyFill="1" applyBorder="1" applyAlignment="1">
      <alignment horizontal="left" wrapText="1"/>
    </xf>
    <xf numFmtId="0" fontId="74" fillId="0" borderId="18" xfId="0" applyFont="1" applyFill="1" applyBorder="1" applyAlignment="1">
      <alignment horizontal="left" wrapText="1"/>
    </xf>
    <xf numFmtId="0" fontId="0" fillId="0" borderId="0" xfId="0" applyFill="1" applyBorder="1" applyAlignment="1">
      <alignment horizontal="left" wrapText="1"/>
    </xf>
    <xf numFmtId="10" fontId="116" fillId="0" borderId="18" xfId="124" applyNumberFormat="1" applyFont="1" applyBorder="1" applyAlignment="1">
      <alignment horizontal="center" vertical="center"/>
    </xf>
    <xf numFmtId="0" fontId="94" fillId="0" borderId="18" xfId="0" applyFont="1" applyBorder="1" applyAlignment="1">
      <alignment horizontal="center" vertical="center"/>
    </xf>
    <xf numFmtId="0" fontId="56" fillId="0" borderId="18" xfId="1" applyFont="1" applyBorder="1" applyAlignment="1">
      <alignment vertical="center"/>
    </xf>
    <xf numFmtId="4" fontId="56" fillId="0" borderId="18" xfId="1" applyNumberFormat="1" applyFont="1" applyBorder="1" applyAlignment="1">
      <alignment horizontal="center" vertical="center"/>
    </xf>
    <xf numFmtId="0" fontId="1" fillId="0" borderId="0" xfId="126" applyFont="1"/>
    <xf numFmtId="10" fontId="10" fillId="0" borderId="0" xfId="124" applyNumberFormat="1" applyFont="1"/>
    <xf numFmtId="16" fontId="1" fillId="0" borderId="0" xfId="126" applyNumberFormat="1" applyFont="1"/>
    <xf numFmtId="0" fontId="129" fillId="0" borderId="0" xfId="126" applyFont="1" applyAlignment="1">
      <alignment horizontal="left" wrapText="1"/>
    </xf>
    <xf numFmtId="166" fontId="58" fillId="0" borderId="18" xfId="2" applyNumberFormat="1" applyFont="1" applyBorder="1" applyAlignment="1">
      <alignment horizontal="center" vertical="center"/>
    </xf>
    <xf numFmtId="2" fontId="126" fillId="0" borderId="0" xfId="126" applyNumberFormat="1" applyFont="1"/>
    <xf numFmtId="166" fontId="130" fillId="0" borderId="17" xfId="0" applyNumberFormat="1" applyFont="1" applyFill="1" applyBorder="1" applyAlignment="1">
      <alignment horizontal="center" vertical="center" shrinkToFit="1"/>
    </xf>
    <xf numFmtId="1" fontId="76" fillId="0" borderId="18" xfId="0" applyNumberFormat="1" applyFont="1" applyFill="1" applyBorder="1" applyAlignment="1">
      <alignment horizontal="center" vertical="center" shrinkToFit="1"/>
    </xf>
    <xf numFmtId="0" fontId="76" fillId="0" borderId="17" xfId="0" applyFont="1" applyFill="1" applyBorder="1" applyAlignment="1">
      <alignment horizontal="center" vertical="center" wrapText="1"/>
    </xf>
    <xf numFmtId="0" fontId="76" fillId="0" borderId="18" xfId="0" applyFont="1" applyBorder="1" applyAlignment="1">
      <alignment horizontal="center" vertical="center" wrapText="1"/>
    </xf>
    <xf numFmtId="0" fontId="90" fillId="0" borderId="59" xfId="0" applyFont="1" applyBorder="1" applyAlignment="1">
      <alignment horizontal="center" vertical="center" wrapText="1"/>
    </xf>
    <xf numFmtId="0" fontId="56" fillId="0" borderId="0" xfId="133" applyFont="1" applyAlignment="1">
      <alignment vertical="center" wrapText="1"/>
    </xf>
    <xf numFmtId="0" fontId="16" fillId="0" borderId="0" xfId="121" applyFill="1" applyAlignment="1">
      <alignment wrapText="1"/>
    </xf>
    <xf numFmtId="184" fontId="73" fillId="0" borderId="0" xfId="0" applyNumberFormat="1" applyFont="1" applyAlignment="1">
      <alignment horizontal="left" vertical="top"/>
    </xf>
    <xf numFmtId="0" fontId="58" fillId="0" borderId="18" xfId="1" applyFont="1" applyBorder="1" applyAlignment="1">
      <alignment horizontal="center" vertical="center" wrapText="1"/>
    </xf>
    <xf numFmtId="0" fontId="0" fillId="0" borderId="0" xfId="0" applyAlignment="1">
      <alignment vertical="top"/>
    </xf>
    <xf numFmtId="0" fontId="0" fillId="0" borderId="0" xfId="0" applyAlignment="1">
      <alignment horizontal="left"/>
    </xf>
    <xf numFmtId="185" fontId="56" fillId="0" borderId="0" xfId="10" applyNumberFormat="1" applyFont="1" applyAlignment="1">
      <alignment vertical="center" wrapText="1"/>
    </xf>
    <xf numFmtId="0" fontId="56" fillId="0" borderId="0" xfId="2" applyFont="1" applyBorder="1"/>
    <xf numFmtId="0" fontId="56" fillId="0" borderId="18" xfId="1" applyFont="1" applyBorder="1" applyAlignment="1">
      <alignment horizontal="center"/>
    </xf>
    <xf numFmtId="0" fontId="56" fillId="0" borderId="18" xfId="133" applyFont="1" applyBorder="1" applyAlignment="1">
      <alignment horizontal="center" vertical="center" wrapText="1"/>
    </xf>
    <xf numFmtId="0" fontId="56" fillId="0" borderId="0" xfId="1" applyFont="1" applyBorder="1" applyAlignment="1">
      <alignment horizontal="center" vertical="center"/>
    </xf>
    <xf numFmtId="2" fontId="56" fillId="0" borderId="0" xfId="1" applyNumberFormat="1" applyFont="1" applyBorder="1" applyAlignment="1">
      <alignment horizontal="center" vertical="center"/>
    </xf>
    <xf numFmtId="0" fontId="56" fillId="0" borderId="0" xfId="1" applyFont="1" applyBorder="1"/>
    <xf numFmtId="10" fontId="56" fillId="0" borderId="0" xfId="124" applyNumberFormat="1" applyFont="1" applyBorder="1"/>
    <xf numFmtId="43" fontId="56" fillId="0" borderId="0" xfId="1" applyNumberFormat="1" applyFont="1" applyBorder="1"/>
    <xf numFmtId="0" fontId="58" fillId="0" borderId="18" xfId="1" applyFont="1" applyBorder="1" applyAlignment="1">
      <alignment horizontal="center" vertical="center"/>
    </xf>
    <xf numFmtId="170" fontId="56" fillId="0" borderId="18" xfId="1" applyNumberFormat="1" applyFont="1" applyBorder="1" applyAlignment="1">
      <alignment horizontal="center" vertical="center"/>
    </xf>
    <xf numFmtId="0" fontId="58" fillId="0" borderId="18" xfId="1" applyFont="1" applyBorder="1" applyAlignment="1">
      <alignment horizontal="center"/>
    </xf>
    <xf numFmtId="0" fontId="94" fillId="0" borderId="18" xfId="0" applyFont="1" applyBorder="1" applyAlignment="1">
      <alignment horizontal="center"/>
    </xf>
    <xf numFmtId="2" fontId="94" fillId="0" borderId="18" xfId="0" applyNumberFormat="1" applyFont="1" applyBorder="1" applyAlignment="1">
      <alignment horizontal="center"/>
    </xf>
    <xf numFmtId="0" fontId="76" fillId="0" borderId="15" xfId="0" applyFont="1" applyBorder="1" applyAlignment="1">
      <alignment horizontal="center" vertical="center" wrapText="1"/>
    </xf>
    <xf numFmtId="180" fontId="76" fillId="0" borderId="15" xfId="133" applyNumberFormat="1" applyFont="1" applyBorder="1" applyAlignment="1">
      <alignment horizontal="center" vertical="center" shrinkToFit="1"/>
    </xf>
    <xf numFmtId="0" fontId="56" fillId="0" borderId="0" xfId="133" applyFont="1" applyBorder="1" applyAlignment="1">
      <alignment horizontal="left" vertical="center" wrapText="1"/>
    </xf>
    <xf numFmtId="0" fontId="56" fillId="0" borderId="0" xfId="133" applyFont="1" applyBorder="1" applyAlignment="1">
      <alignment horizontal="center" vertical="center" wrapText="1"/>
    </xf>
    <xf numFmtId="2" fontId="76" fillId="0" borderId="0" xfId="133" applyNumberFormat="1" applyFont="1" applyBorder="1" applyAlignment="1">
      <alignment horizontal="center" vertical="center" wrapText="1"/>
    </xf>
    <xf numFmtId="2" fontId="76" fillId="0" borderId="16" xfId="133" applyNumberFormat="1" applyFont="1" applyBorder="1" applyAlignment="1">
      <alignment horizontal="center" vertical="center" wrapText="1"/>
    </xf>
    <xf numFmtId="0" fontId="58" fillId="0" borderId="15" xfId="133" applyFont="1" applyBorder="1" applyAlignment="1">
      <alignment horizontal="left" vertical="center"/>
    </xf>
    <xf numFmtId="0" fontId="56" fillId="0" borderId="0" xfId="133" applyFont="1" applyBorder="1" applyAlignment="1">
      <alignment vertical="center" wrapText="1"/>
    </xf>
    <xf numFmtId="9" fontId="76" fillId="0" borderId="18" xfId="133" applyNumberFormat="1" applyFont="1" applyBorder="1" applyAlignment="1">
      <alignment horizontal="center" vertical="center"/>
    </xf>
    <xf numFmtId="9" fontId="76" fillId="0" borderId="19" xfId="133" applyNumberFormat="1" applyFont="1" applyBorder="1" applyAlignment="1">
      <alignment horizontal="center" vertical="center"/>
    </xf>
    <xf numFmtId="0" fontId="76" fillId="0" borderId="18" xfId="133" applyFont="1" applyBorder="1" applyAlignment="1">
      <alignment horizontal="center" vertical="center"/>
    </xf>
    <xf numFmtId="2" fontId="76" fillId="0" borderId="18" xfId="133" applyNumberFormat="1" applyFont="1" applyBorder="1" applyAlignment="1">
      <alignment horizontal="center" vertical="center"/>
    </xf>
    <xf numFmtId="2" fontId="76" fillId="0" borderId="19" xfId="133" applyNumberFormat="1" applyFont="1" applyBorder="1" applyAlignment="1">
      <alignment horizontal="center" vertical="center"/>
    </xf>
    <xf numFmtId="2" fontId="76" fillId="0" borderId="0" xfId="133" applyNumberFormat="1" applyFont="1" applyBorder="1" applyAlignment="1">
      <alignment horizontal="center" vertical="center"/>
    </xf>
    <xf numFmtId="0" fontId="76" fillId="0" borderId="0" xfId="133" applyFont="1" applyBorder="1" applyAlignment="1">
      <alignment horizontal="left" vertical="top"/>
    </xf>
    <xf numFmtId="0" fontId="90" fillId="0" borderId="0" xfId="133" applyFont="1" applyBorder="1" applyAlignment="1">
      <alignment horizontal="left" vertical="center"/>
    </xf>
    <xf numFmtId="0" fontId="76" fillId="0" borderId="31" xfId="133" applyFont="1" applyBorder="1" applyAlignment="1">
      <alignment horizontal="center" vertical="center"/>
    </xf>
    <xf numFmtId="0" fontId="90" fillId="0" borderId="18" xfId="133" applyFont="1" applyBorder="1" applyAlignment="1">
      <alignment horizontal="center" vertical="top"/>
    </xf>
    <xf numFmtId="2" fontId="90" fillId="0" borderId="18" xfId="133" applyNumberFormat="1" applyFont="1" applyBorder="1" applyAlignment="1">
      <alignment horizontal="center" vertical="center"/>
    </xf>
    <xf numFmtId="0" fontId="90" fillId="0" borderId="17" xfId="133" applyFont="1" applyBorder="1" applyAlignment="1">
      <alignment horizontal="center" vertical="center"/>
    </xf>
    <xf numFmtId="1" fontId="131" fillId="0" borderId="18" xfId="0" applyNumberFormat="1" applyFont="1" applyBorder="1" applyAlignment="1">
      <alignment horizontal="left" vertical="center" shrinkToFit="1"/>
    </xf>
    <xf numFmtId="1" fontId="130" fillId="0" borderId="17" xfId="0" applyNumberFormat="1" applyFont="1" applyFill="1" applyBorder="1" applyAlignment="1">
      <alignment horizontal="center" vertical="center" shrinkToFit="1"/>
    </xf>
    <xf numFmtId="0" fontId="76" fillId="0" borderId="0" xfId="0" applyFont="1" applyBorder="1" applyAlignment="1">
      <alignment horizontal="left" vertical="center"/>
    </xf>
    <xf numFmtId="10" fontId="129" fillId="0" borderId="18" xfId="124" applyNumberFormat="1" applyFont="1" applyBorder="1" applyAlignment="1">
      <alignment horizontal="center" vertical="center"/>
    </xf>
    <xf numFmtId="0" fontId="10" fillId="0" borderId="0" xfId="126" applyAlignment="1">
      <alignment horizontal="center" vertical="center"/>
    </xf>
    <xf numFmtId="0" fontId="10" fillId="0" borderId="0" xfId="126" applyBorder="1"/>
    <xf numFmtId="2" fontId="127" fillId="0" borderId="18" xfId="126" applyNumberFormat="1" applyFont="1" applyBorder="1" applyAlignment="1">
      <alignment horizontal="center" vertical="center" wrapText="1"/>
    </xf>
    <xf numFmtId="0" fontId="127" fillId="0" borderId="18" xfId="126" applyFont="1" applyBorder="1" applyAlignment="1">
      <alignment horizontal="center" vertical="center" wrapText="1"/>
    </xf>
    <xf numFmtId="0" fontId="115" fillId="0" borderId="0" xfId="126" applyFont="1" applyBorder="1" applyAlignment="1">
      <alignment horizontal="left"/>
    </xf>
    <xf numFmtId="0" fontId="116" fillId="0" borderId="0" xfId="126" applyFont="1" applyBorder="1" applyAlignment="1">
      <alignment horizontal="left"/>
    </xf>
    <xf numFmtId="0" fontId="116" fillId="0" borderId="0" xfId="126" applyFont="1" applyBorder="1"/>
    <xf numFmtId="0" fontId="115" fillId="0" borderId="24" xfId="126" applyFont="1" applyBorder="1"/>
    <xf numFmtId="0" fontId="73" fillId="0" borderId="0" xfId="0" applyFont="1" applyAlignment="1">
      <alignment horizontal="left" vertical="top" wrapText="1"/>
    </xf>
    <xf numFmtId="2" fontId="76" fillId="0" borderId="31" xfId="133" applyNumberFormat="1" applyFont="1" applyBorder="1" applyAlignment="1">
      <alignment horizontal="center" wrapText="1"/>
    </xf>
    <xf numFmtId="2" fontId="90" fillId="0" borderId="31" xfId="133" applyNumberFormat="1" applyFont="1" applyBorder="1" applyAlignment="1">
      <alignment horizontal="center" wrapText="1"/>
    </xf>
    <xf numFmtId="0" fontId="76" fillId="0" borderId="18" xfId="133" applyFont="1" applyBorder="1" applyAlignment="1">
      <alignment horizontal="left" vertical="top"/>
    </xf>
    <xf numFmtId="0" fontId="0" fillId="0" borderId="16" xfId="0" applyBorder="1" applyAlignment="1">
      <alignment horizontal="left" vertical="top"/>
    </xf>
    <xf numFmtId="0" fontId="76" fillId="0" borderId="0" xfId="133" applyFont="1" applyBorder="1" applyAlignment="1">
      <alignment horizontal="center" vertical="top"/>
    </xf>
    <xf numFmtId="0" fontId="76" fillId="0" borderId="36" xfId="133" applyFont="1" applyBorder="1" applyAlignment="1">
      <alignment horizontal="left" vertical="top"/>
    </xf>
    <xf numFmtId="0" fontId="56" fillId="0" borderId="37" xfId="133" applyFont="1" applyBorder="1" applyAlignment="1">
      <alignment horizontal="center" vertical="top" wrapText="1"/>
    </xf>
    <xf numFmtId="0" fontId="56" fillId="0" borderId="59" xfId="133" applyFont="1" applyBorder="1" applyAlignment="1">
      <alignment horizontal="center" vertical="top" wrapText="1"/>
    </xf>
    <xf numFmtId="0" fontId="58" fillId="0" borderId="30" xfId="133" applyFont="1" applyBorder="1" applyAlignment="1">
      <alignment horizontal="center" vertical="top" wrapText="1"/>
    </xf>
    <xf numFmtId="0" fontId="90" fillId="0" borderId="30" xfId="133" applyFont="1" applyBorder="1" applyAlignment="1">
      <alignment vertical="center" wrapText="1"/>
    </xf>
    <xf numFmtId="2" fontId="76" fillId="0" borderId="17" xfId="133" applyNumberFormat="1" applyFont="1" applyBorder="1" applyAlignment="1">
      <alignment horizontal="center" vertical="center"/>
    </xf>
    <xf numFmtId="2" fontId="76" fillId="0" borderId="30" xfId="133" applyNumberFormat="1" applyFont="1" applyBorder="1" applyAlignment="1">
      <alignment vertical="center" wrapText="1"/>
    </xf>
    <xf numFmtId="2" fontId="76" fillId="0" borderId="30" xfId="133" applyNumberFormat="1" applyFont="1" applyBorder="1" applyAlignment="1">
      <alignment wrapText="1"/>
    </xf>
    <xf numFmtId="2" fontId="76" fillId="0" borderId="17" xfId="133" applyNumberFormat="1" applyFont="1" applyBorder="1" applyAlignment="1">
      <alignment horizontal="left" vertical="top"/>
    </xf>
    <xf numFmtId="2" fontId="90" fillId="0" borderId="30" xfId="133" applyNumberFormat="1" applyFont="1" applyBorder="1" applyAlignment="1">
      <alignment wrapText="1"/>
    </xf>
    <xf numFmtId="2" fontId="76" fillId="0" borderId="0" xfId="133" applyNumberFormat="1" applyFont="1" applyBorder="1" applyAlignment="1">
      <alignment horizontal="left" vertical="top"/>
    </xf>
    <xf numFmtId="2" fontId="76" fillId="0" borderId="17" xfId="133" applyNumberFormat="1" applyFont="1" applyBorder="1" applyAlignment="1">
      <alignment horizontal="center" vertical="top"/>
    </xf>
    <xf numFmtId="2" fontId="90" fillId="0" borderId="17" xfId="133" applyNumberFormat="1" applyFont="1" applyBorder="1" applyAlignment="1">
      <alignment horizontal="center" vertical="top"/>
    </xf>
    <xf numFmtId="2" fontId="90" fillId="0" borderId="18" xfId="133" applyNumberFormat="1" applyFont="1" applyBorder="1" applyAlignment="1">
      <alignment wrapText="1"/>
    </xf>
    <xf numFmtId="2" fontId="76" fillId="0" borderId="18" xfId="133" applyNumberFormat="1" applyFont="1" applyBorder="1" applyAlignment="1">
      <alignment horizontal="left" vertical="top"/>
    </xf>
    <xf numFmtId="2" fontId="76" fillId="0" borderId="30" xfId="133" applyNumberFormat="1" applyFont="1" applyBorder="1" applyAlignment="1">
      <alignment horizontal="left" vertical="top"/>
    </xf>
    <xf numFmtId="2" fontId="90" fillId="0" borderId="30" xfId="133" applyNumberFormat="1" applyFont="1" applyBorder="1" applyAlignment="1">
      <alignment horizontal="left" vertical="top"/>
    </xf>
    <xf numFmtId="2" fontId="90" fillId="0" borderId="18" xfId="133" applyNumberFormat="1" applyFont="1" applyBorder="1" applyAlignment="1">
      <alignment horizontal="left" vertical="top"/>
    </xf>
    <xf numFmtId="2" fontId="90" fillId="0" borderId="17" xfId="133" applyNumberFormat="1" applyFont="1" applyBorder="1" applyAlignment="1">
      <alignment horizontal="center" vertical="center"/>
    </xf>
    <xf numFmtId="2" fontId="90" fillId="0" borderId="30" xfId="133" applyNumberFormat="1" applyFont="1" applyBorder="1" applyAlignment="1">
      <alignment horizontal="left" vertical="center" wrapText="1"/>
    </xf>
    <xf numFmtId="2" fontId="90" fillId="0" borderId="18" xfId="133" applyNumberFormat="1" applyFont="1" applyBorder="1" applyAlignment="1">
      <alignment horizontal="left" vertical="center" wrapText="1"/>
    </xf>
    <xf numFmtId="165" fontId="154" fillId="0" borderId="18" xfId="139" applyFont="1" applyFill="1" applyBorder="1" applyAlignment="1">
      <alignment horizontal="center" vertical="center" wrapText="1"/>
    </xf>
    <xf numFmtId="2" fontId="76" fillId="0" borderId="59" xfId="0" applyNumberFormat="1" applyFont="1" applyBorder="1" applyAlignment="1">
      <alignment horizontal="left" vertical="center" wrapText="1"/>
    </xf>
    <xf numFmtId="2" fontId="76" fillId="0" borderId="30" xfId="0" applyNumberFormat="1" applyFont="1" applyBorder="1" applyAlignment="1">
      <alignment horizontal="left" vertical="center" wrapText="1"/>
    </xf>
    <xf numFmtId="0" fontId="76" fillId="0" borderId="30" xfId="0" applyFont="1" applyBorder="1" applyAlignment="1">
      <alignment horizontal="left" vertical="center"/>
    </xf>
    <xf numFmtId="0" fontId="70" fillId="0" borderId="18" xfId="0" applyFont="1" applyFill="1" applyBorder="1" applyAlignment="1">
      <alignment horizontal="left" vertical="center"/>
    </xf>
    <xf numFmtId="2" fontId="76" fillId="0" borderId="30" xfId="0" applyNumberFormat="1" applyFont="1" applyFill="1" applyBorder="1" applyAlignment="1">
      <alignment horizontal="center" vertical="center" wrapText="1"/>
    </xf>
    <xf numFmtId="2" fontId="76" fillId="0" borderId="18" xfId="0" applyNumberFormat="1" applyFont="1" applyFill="1" applyBorder="1" applyAlignment="1">
      <alignment horizontal="center" vertical="center" wrapText="1"/>
    </xf>
    <xf numFmtId="0" fontId="76" fillId="0" borderId="18" xfId="0" applyFont="1" applyFill="1" applyBorder="1" applyAlignment="1">
      <alignment horizontal="left" vertical="center"/>
    </xf>
    <xf numFmtId="0" fontId="76" fillId="0" borderId="18" xfId="0" applyFont="1" applyFill="1" applyBorder="1" applyAlignment="1">
      <alignment horizontal="left" vertical="center" wrapText="1"/>
    </xf>
    <xf numFmtId="0" fontId="75" fillId="0" borderId="18" xfId="0" applyFont="1" applyFill="1" applyBorder="1" applyAlignment="1">
      <alignment horizontal="center" vertical="center"/>
    </xf>
    <xf numFmtId="0" fontId="90" fillId="0" borderId="18" xfId="0" applyFont="1" applyFill="1" applyBorder="1" applyAlignment="1">
      <alignment horizontal="left" vertical="center" wrapText="1"/>
    </xf>
    <xf numFmtId="2" fontId="90" fillId="0" borderId="30" xfId="0" applyNumberFormat="1" applyFont="1" applyFill="1" applyBorder="1" applyAlignment="1">
      <alignment horizontal="center" vertical="center" wrapText="1"/>
    </xf>
    <xf numFmtId="2" fontId="90" fillId="0" borderId="18" xfId="0" applyNumberFormat="1" applyFont="1" applyFill="1" applyBorder="1" applyAlignment="1">
      <alignment horizontal="center" vertical="center" wrapText="1"/>
    </xf>
    <xf numFmtId="0" fontId="76" fillId="0" borderId="0" xfId="0" applyFont="1" applyFill="1" applyBorder="1" applyAlignment="1">
      <alignment horizontal="left" vertical="center" wrapText="1"/>
    </xf>
    <xf numFmtId="2" fontId="76" fillId="0" borderId="0" xfId="0" applyNumberFormat="1" applyFont="1" applyFill="1" applyBorder="1" applyAlignment="1">
      <alignment horizontal="center" vertical="center" wrapText="1"/>
    </xf>
    <xf numFmtId="10" fontId="76" fillId="0" borderId="37" xfId="124" applyNumberFormat="1" applyFont="1" applyFill="1" applyBorder="1" applyAlignment="1">
      <alignment horizontal="center" vertical="center" wrapText="1"/>
    </xf>
    <xf numFmtId="0" fontId="76" fillId="0" borderId="37" xfId="0" applyFont="1" applyBorder="1" applyAlignment="1">
      <alignment horizontal="left" vertical="top"/>
    </xf>
    <xf numFmtId="2" fontId="76" fillId="0" borderId="18" xfId="0" applyNumberFormat="1" applyFont="1" applyBorder="1" applyAlignment="1">
      <alignment horizontal="left" vertical="center"/>
    </xf>
    <xf numFmtId="0" fontId="90" fillId="0" borderId="0" xfId="0" applyFont="1" applyBorder="1" applyAlignment="1">
      <alignment horizontal="left" vertical="top"/>
    </xf>
    <xf numFmtId="0" fontId="76" fillId="0" borderId="12" xfId="0" applyFont="1" applyBorder="1" applyAlignment="1">
      <alignment horizontal="left" vertical="top"/>
    </xf>
    <xf numFmtId="0" fontId="76" fillId="0" borderId="13" xfId="0" applyFont="1" applyBorder="1" applyAlignment="1">
      <alignment horizontal="left" vertical="top"/>
    </xf>
    <xf numFmtId="0" fontId="75" fillId="0" borderId="13" xfId="0" applyFont="1" applyBorder="1" applyAlignment="1">
      <alignment horizontal="center" vertical="center"/>
    </xf>
    <xf numFmtId="0" fontId="76" fillId="0" borderId="14" xfId="0" applyFont="1" applyBorder="1" applyAlignment="1">
      <alignment horizontal="left" vertical="top"/>
    </xf>
    <xf numFmtId="0" fontId="76" fillId="0" borderId="0" xfId="0" applyFont="1" applyAlignment="1">
      <alignment horizontal="center" vertical="center"/>
    </xf>
    <xf numFmtId="0" fontId="66" fillId="0" borderId="18" xfId="0" applyFont="1" applyBorder="1" applyAlignment="1">
      <alignment horizontal="center" vertical="center" wrapText="1"/>
    </xf>
    <xf numFmtId="0" fontId="75" fillId="0" borderId="18" xfId="0" applyFont="1" applyBorder="1" applyAlignment="1">
      <alignment horizontal="center" vertical="center" wrapText="1"/>
    </xf>
    <xf numFmtId="0" fontId="131" fillId="0" borderId="18" xfId="0" applyFont="1" applyBorder="1" applyAlignment="1">
      <alignment horizontal="center" vertical="center" wrapText="1"/>
    </xf>
    <xf numFmtId="0" fontId="131" fillId="0" borderId="19" xfId="0" applyFont="1" applyBorder="1" applyAlignment="1">
      <alignment horizontal="center" vertical="center" wrapText="1"/>
    </xf>
    <xf numFmtId="167" fontId="135" fillId="0" borderId="43" xfId="0" applyNumberFormat="1" applyFont="1" applyBorder="1" applyAlignment="1">
      <alignment horizontal="center" vertical="top" shrinkToFit="1"/>
    </xf>
    <xf numFmtId="0" fontId="76" fillId="0" borderId="9" xfId="0" applyFont="1" applyBorder="1" applyAlignment="1">
      <alignment horizontal="left" wrapText="1"/>
    </xf>
    <xf numFmtId="167" fontId="135" fillId="0" borderId="18" xfId="0" applyNumberFormat="1" applyFont="1" applyBorder="1" applyAlignment="1">
      <alignment horizontal="center" vertical="center" shrinkToFit="1"/>
    </xf>
    <xf numFmtId="0" fontId="68" fillId="0" borderId="44" xfId="0" applyFont="1" applyBorder="1" applyAlignment="1">
      <alignment horizontal="left" vertical="top" wrapText="1"/>
    </xf>
    <xf numFmtId="0" fontId="68" fillId="0" borderId="2" xfId="0" applyFont="1" applyBorder="1" applyAlignment="1">
      <alignment horizontal="center" vertical="center" wrapText="1"/>
    </xf>
    <xf numFmtId="10" fontId="76" fillId="0" borderId="19" xfId="0" applyNumberFormat="1" applyFont="1" applyBorder="1" applyAlignment="1">
      <alignment horizontal="center" vertical="center"/>
    </xf>
    <xf numFmtId="9" fontId="102" fillId="0" borderId="18" xfId="0" applyNumberFormat="1" applyFont="1" applyBorder="1" applyAlignment="1">
      <alignment horizontal="center" vertical="center" wrapText="1"/>
    </xf>
    <xf numFmtId="9" fontId="76" fillId="0" borderId="18" xfId="0" applyNumberFormat="1" applyFont="1" applyBorder="1" applyAlignment="1">
      <alignment horizontal="center" vertical="center"/>
    </xf>
    <xf numFmtId="9" fontId="76" fillId="0" borderId="19" xfId="0" applyNumberFormat="1" applyFont="1" applyBorder="1" applyAlignment="1">
      <alignment horizontal="center" vertical="center"/>
    </xf>
    <xf numFmtId="10" fontId="102" fillId="0" borderId="18" xfId="0" applyNumberFormat="1" applyFont="1" applyBorder="1" applyAlignment="1">
      <alignment horizontal="center" vertical="center" wrapText="1"/>
    </xf>
    <xf numFmtId="4" fontId="76" fillId="0" borderId="18" xfId="0" applyNumberFormat="1" applyFont="1" applyBorder="1" applyAlignment="1">
      <alignment horizontal="center" vertical="center"/>
    </xf>
    <xf numFmtId="4" fontId="76" fillId="0" borderId="19" xfId="0" applyNumberFormat="1" applyFont="1" applyBorder="1" applyAlignment="1">
      <alignment horizontal="center" vertical="center"/>
    </xf>
    <xf numFmtId="0" fontId="102" fillId="0" borderId="18" xfId="0" applyFont="1" applyBorder="1" applyAlignment="1">
      <alignment horizontal="center" vertical="center" wrapText="1"/>
    </xf>
    <xf numFmtId="0" fontId="68" fillId="0" borderId="44" xfId="0" applyFont="1" applyBorder="1" applyAlignment="1">
      <alignment horizontal="left" vertical="center" wrapText="1"/>
    </xf>
    <xf numFmtId="0" fontId="68" fillId="0" borderId="44" xfId="0" applyFont="1" applyBorder="1" applyAlignment="1">
      <alignment horizontal="center" vertical="center" wrapText="1"/>
    </xf>
    <xf numFmtId="3" fontId="76" fillId="0" borderId="18" xfId="0" applyNumberFormat="1" applyFont="1" applyBorder="1" applyAlignment="1">
      <alignment horizontal="center" vertical="center"/>
    </xf>
    <xf numFmtId="3" fontId="76" fillId="0" borderId="19" xfId="0" applyNumberFormat="1" applyFont="1" applyBorder="1" applyAlignment="1">
      <alignment horizontal="center" vertical="center"/>
    </xf>
    <xf numFmtId="0" fontId="76" fillId="0" borderId="44" xfId="0" applyFont="1" applyBorder="1" applyAlignment="1">
      <alignment horizontal="left" vertical="top" wrapText="1"/>
    </xf>
    <xf numFmtId="9" fontId="76" fillId="0" borderId="18" xfId="124" applyFont="1" applyBorder="1" applyAlignment="1">
      <alignment horizontal="center" vertical="center"/>
    </xf>
    <xf numFmtId="9" fontId="76" fillId="0" borderId="19" xfId="124" applyFont="1" applyBorder="1" applyAlignment="1">
      <alignment horizontal="center" vertical="center"/>
    </xf>
    <xf numFmtId="0" fontId="68" fillId="0" borderId="5" xfId="0" applyFont="1" applyBorder="1" applyAlignment="1">
      <alignment horizontal="center" vertical="center" wrapText="1"/>
    </xf>
    <xf numFmtId="0" fontId="102" fillId="0" borderId="21" xfId="0" applyFont="1" applyBorder="1" applyAlignment="1">
      <alignment horizontal="center" vertical="center" wrapText="1"/>
    </xf>
    <xf numFmtId="3" fontId="76" fillId="0" borderId="21" xfId="0" applyNumberFormat="1" applyFont="1" applyBorder="1" applyAlignment="1">
      <alignment horizontal="center" vertical="center"/>
    </xf>
    <xf numFmtId="3" fontId="76" fillId="0" borderId="22" xfId="0" applyNumberFormat="1" applyFont="1" applyBorder="1" applyAlignment="1">
      <alignment horizontal="center" vertical="center"/>
    </xf>
    <xf numFmtId="0" fontId="68" fillId="0" borderId="18" xfId="0" applyFont="1" applyBorder="1" applyAlignment="1">
      <alignment horizontal="left" vertical="center" wrapText="1"/>
    </xf>
    <xf numFmtId="2" fontId="76" fillId="0" borderId="18" xfId="0" applyNumberFormat="1" applyFont="1" applyBorder="1" applyAlignment="1">
      <alignment horizontal="center" vertical="center"/>
    </xf>
    <xf numFmtId="0" fontId="68" fillId="0" borderId="17" xfId="0" applyFont="1" applyBorder="1" applyAlignment="1">
      <alignment horizontal="left" vertical="top" wrapText="1"/>
    </xf>
    <xf numFmtId="0" fontId="76" fillId="0" borderId="19" xfId="0" applyFont="1" applyBorder="1" applyAlignment="1">
      <alignment horizontal="center" vertical="center"/>
    </xf>
    <xf numFmtId="0" fontId="68" fillId="0" borderId="15" xfId="0" applyFont="1" applyBorder="1" applyAlignment="1">
      <alignment horizontal="left" vertical="top" wrapText="1"/>
    </xf>
    <xf numFmtId="0" fontId="70" fillId="0" borderId="15" xfId="0" applyFont="1" applyBorder="1" applyAlignment="1">
      <alignment vertical="top" wrapText="1"/>
    </xf>
    <xf numFmtId="0" fontId="76" fillId="0" borderId="16" xfId="0" applyFont="1" applyBorder="1" applyAlignment="1">
      <alignment horizontal="left" vertical="top" wrapText="1"/>
    </xf>
    <xf numFmtId="0" fontId="76" fillId="0" borderId="15" xfId="0" applyFont="1" applyBorder="1" applyAlignment="1">
      <alignment horizontal="justify" vertical="center" wrapText="1"/>
    </xf>
    <xf numFmtId="0" fontId="76" fillId="0" borderId="23" xfId="0" applyFont="1" applyBorder="1" applyAlignment="1">
      <alignment horizontal="left" vertical="top"/>
    </xf>
    <xf numFmtId="0" fontId="76" fillId="0" borderId="24" xfId="0" applyFont="1" applyBorder="1" applyAlignment="1">
      <alignment horizontal="left" vertical="top"/>
    </xf>
    <xf numFmtId="0" fontId="76" fillId="0" borderId="25" xfId="0" applyFont="1" applyBorder="1" applyAlignment="1">
      <alignment horizontal="left" vertical="top"/>
    </xf>
    <xf numFmtId="0" fontId="76" fillId="0" borderId="12" xfId="0" applyFont="1" applyBorder="1" applyAlignment="1">
      <alignment horizontal="left" vertical="top" wrapText="1"/>
    </xf>
    <xf numFmtId="0" fontId="76" fillId="0" borderId="15" xfId="0" applyFont="1" applyBorder="1" applyAlignment="1">
      <alignment horizontal="left" vertical="top" wrapText="1"/>
    </xf>
    <xf numFmtId="0" fontId="76" fillId="0" borderId="19" xfId="0" applyFont="1" applyBorder="1" applyAlignment="1">
      <alignment horizontal="left" wrapText="1"/>
    </xf>
    <xf numFmtId="0" fontId="76" fillId="0" borderId="17" xfId="0" applyFont="1" applyBorder="1" applyAlignment="1">
      <alignment horizontal="left" wrapText="1"/>
    </xf>
    <xf numFmtId="4" fontId="76" fillId="0" borderId="19" xfId="0" applyNumberFormat="1" applyFont="1" applyBorder="1" applyAlignment="1">
      <alignment horizontal="center" vertical="center" wrapText="1"/>
    </xf>
    <xf numFmtId="0" fontId="76" fillId="0" borderId="19" xfId="0" applyFont="1" applyBorder="1" applyAlignment="1">
      <alignment horizontal="center" vertical="center" wrapText="1"/>
    </xf>
    <xf numFmtId="0" fontId="76" fillId="0" borderId="15" xfId="0" applyFont="1" applyBorder="1" applyAlignment="1">
      <alignment horizontal="left" wrapText="1"/>
    </xf>
    <xf numFmtId="0" fontId="76" fillId="0" borderId="16" xfId="0" applyFont="1" applyBorder="1" applyAlignment="1">
      <alignment horizontal="left" wrapText="1"/>
    </xf>
    <xf numFmtId="0" fontId="58" fillId="0" borderId="17" xfId="0" applyFont="1" applyBorder="1" applyAlignment="1">
      <alignment horizontal="left" vertical="top" wrapText="1"/>
    </xf>
    <xf numFmtId="0" fontId="56" fillId="0" borderId="17" xfId="0" applyFont="1" applyBorder="1" applyAlignment="1">
      <alignment horizontal="left" vertical="top" wrapText="1"/>
    </xf>
    <xf numFmtId="0" fontId="58" fillId="0" borderId="25" xfId="0" applyFont="1" applyBorder="1" applyAlignment="1">
      <alignment horizontal="center" vertical="center" wrapText="1"/>
    </xf>
    <xf numFmtId="0" fontId="144" fillId="0" borderId="0" xfId="133" applyFont="1" applyBorder="1" applyAlignment="1">
      <alignment horizontal="left" vertical="top"/>
    </xf>
    <xf numFmtId="0" fontId="56" fillId="0" borderId="40" xfId="133" applyFont="1" applyBorder="1" applyAlignment="1">
      <alignment horizontal="center" vertical="top" wrapText="1"/>
    </xf>
    <xf numFmtId="0" fontId="76" fillId="0" borderId="19" xfId="133" applyFont="1" applyBorder="1" applyAlignment="1">
      <alignment horizontal="left" vertical="center" wrapText="1"/>
    </xf>
    <xf numFmtId="2" fontId="76" fillId="0" borderId="19" xfId="133" applyNumberFormat="1" applyFont="1" applyBorder="1" applyAlignment="1">
      <alignment horizontal="center" vertical="center" wrapText="1"/>
    </xf>
    <xf numFmtId="2" fontId="90" fillId="0" borderId="19" xfId="133" applyNumberFormat="1" applyFont="1" applyBorder="1" applyAlignment="1">
      <alignment horizontal="center" vertical="center" wrapText="1"/>
    </xf>
    <xf numFmtId="2" fontId="76" fillId="0" borderId="16" xfId="133" applyNumberFormat="1" applyFont="1" applyBorder="1" applyAlignment="1">
      <alignment horizontal="center" vertical="center"/>
    </xf>
    <xf numFmtId="2" fontId="90" fillId="0" borderId="0" xfId="133" applyNumberFormat="1" applyFont="1" applyBorder="1" applyAlignment="1">
      <alignment horizontal="left" vertical="top"/>
    </xf>
    <xf numFmtId="2" fontId="76" fillId="0" borderId="16" xfId="133" applyNumberFormat="1" applyFont="1" applyBorder="1" applyAlignment="1">
      <alignment horizontal="left" vertical="top"/>
    </xf>
    <xf numFmtId="2" fontId="76" fillId="0" borderId="19" xfId="133" applyNumberFormat="1" applyFont="1" applyBorder="1" applyAlignment="1">
      <alignment horizontal="center" wrapText="1"/>
    </xf>
    <xf numFmtId="2" fontId="76" fillId="0" borderId="19" xfId="133" applyNumberFormat="1" applyFont="1" applyBorder="1" applyAlignment="1">
      <alignment horizontal="left" vertical="top"/>
    </xf>
    <xf numFmtId="0" fontId="90" fillId="0" borderId="0" xfId="133" applyFont="1" applyBorder="1" applyAlignment="1">
      <alignment horizontal="left" vertical="top"/>
    </xf>
    <xf numFmtId="2" fontId="90" fillId="0" borderId="19" xfId="133" applyNumberFormat="1" applyFont="1" applyBorder="1" applyAlignment="1">
      <alignment horizontal="center" wrapText="1"/>
    </xf>
    <xf numFmtId="0" fontId="76" fillId="0" borderId="0" xfId="133" applyFont="1" applyBorder="1" applyAlignment="1">
      <alignment horizontal="left" wrapText="1"/>
    </xf>
    <xf numFmtId="0" fontId="76" fillId="0" borderId="24" xfId="133" applyFont="1" applyBorder="1" applyAlignment="1">
      <alignment horizontal="left" wrapText="1"/>
    </xf>
    <xf numFmtId="0" fontId="76" fillId="0" borderId="25" xfId="133" applyFont="1" applyBorder="1" applyAlignment="1">
      <alignment horizontal="left" wrapText="1"/>
    </xf>
    <xf numFmtId="0" fontId="76" fillId="0" borderId="0" xfId="0" applyFont="1" applyBorder="1" applyAlignment="1">
      <alignment horizontal="left" vertical="top"/>
    </xf>
    <xf numFmtId="0" fontId="75" fillId="0" borderId="0" xfId="0" applyFont="1" applyBorder="1" applyAlignment="1">
      <alignment horizontal="left" vertical="center"/>
    </xf>
    <xf numFmtId="0" fontId="76" fillId="0" borderId="19" xfId="0" applyFont="1" applyBorder="1" applyAlignment="1">
      <alignment horizontal="left" vertical="top"/>
    </xf>
    <xf numFmtId="2" fontId="76" fillId="0" borderId="19" xfId="0" applyNumberFormat="1" applyFont="1" applyFill="1" applyBorder="1" applyAlignment="1">
      <alignment horizontal="center" vertical="center" wrapText="1"/>
    </xf>
    <xf numFmtId="2" fontId="90" fillId="0" borderId="19" xfId="0" applyNumberFormat="1" applyFont="1" applyFill="1" applyBorder="1" applyAlignment="1">
      <alignment horizontal="center" vertical="center" wrapText="1"/>
    </xf>
    <xf numFmtId="0" fontId="76" fillId="0" borderId="15" xfId="0" applyFont="1" applyFill="1" applyBorder="1" applyAlignment="1">
      <alignment horizontal="center" vertical="center" wrapText="1"/>
    </xf>
    <xf numFmtId="2" fontId="76" fillId="0" borderId="16" xfId="0" applyNumberFormat="1" applyFont="1" applyFill="1" applyBorder="1" applyAlignment="1">
      <alignment horizontal="center" vertical="center" wrapText="1"/>
    </xf>
    <xf numFmtId="0" fontId="0" fillId="0" borderId="12" xfId="0" applyFill="1" applyBorder="1" applyAlignment="1">
      <alignment horizontal="left" vertical="top"/>
    </xf>
    <xf numFmtId="0" fontId="0" fillId="0" borderId="15" xfId="0" applyFill="1" applyBorder="1" applyAlignment="1">
      <alignment horizontal="left" vertical="top"/>
    </xf>
    <xf numFmtId="0" fontId="89" fillId="0" borderId="0" xfId="137" applyFont="1" applyBorder="1" applyAlignment="1">
      <alignment horizontal="left" vertical="center"/>
    </xf>
    <xf numFmtId="0" fontId="73" fillId="0" borderId="16" xfId="0" applyFont="1" applyFill="1" applyBorder="1" applyAlignment="1">
      <alignment vertical="top" wrapText="1"/>
    </xf>
    <xf numFmtId="0" fontId="0" fillId="0" borderId="16" xfId="0" applyFill="1" applyBorder="1" applyAlignment="1">
      <alignment horizontal="left" vertical="top"/>
    </xf>
    <xf numFmtId="1" fontId="152" fillId="0" borderId="45" xfId="0" applyNumberFormat="1" applyFont="1" applyFill="1" applyBorder="1" applyAlignment="1">
      <alignment horizontal="center" vertical="top" shrinkToFit="1"/>
    </xf>
    <xf numFmtId="0" fontId="0" fillId="0" borderId="86" xfId="0" applyFill="1" applyBorder="1" applyAlignment="1">
      <alignment horizontal="left" wrapText="1"/>
    </xf>
    <xf numFmtId="0" fontId="0" fillId="0" borderId="19" xfId="0" applyFill="1" applyBorder="1" applyAlignment="1">
      <alignment horizontal="left" wrapText="1"/>
    </xf>
    <xf numFmtId="0" fontId="0" fillId="0" borderId="16" xfId="0" applyFill="1" applyBorder="1" applyAlignment="1">
      <alignment horizontal="left" wrapText="1"/>
    </xf>
    <xf numFmtId="0" fontId="0" fillId="0" borderId="23" xfId="0" applyFill="1" applyBorder="1" applyAlignment="1">
      <alignment horizontal="left" vertical="top"/>
    </xf>
    <xf numFmtId="0" fontId="0" fillId="0" borderId="24" xfId="0" applyFill="1" applyBorder="1" applyAlignment="1">
      <alignment horizontal="left" vertical="top"/>
    </xf>
    <xf numFmtId="0" fontId="0" fillId="0" borderId="24" xfId="0" applyFill="1" applyBorder="1" applyAlignment="1">
      <alignment vertical="center"/>
    </xf>
    <xf numFmtId="4" fontId="0" fillId="0" borderId="19" xfId="0" applyNumberFormat="1" applyBorder="1" applyAlignment="1">
      <alignment horizontal="right" vertical="top"/>
    </xf>
    <xf numFmtId="0" fontId="76" fillId="0" borderId="7" xfId="0" applyFont="1" applyFill="1" applyBorder="1" applyAlignment="1">
      <alignment horizontal="center" vertical="center" wrapText="1"/>
    </xf>
    <xf numFmtId="0" fontId="76" fillId="0" borderId="7" xfId="0" applyFont="1" applyFill="1" applyBorder="1" applyAlignment="1">
      <alignment horizontal="left" wrapText="1"/>
    </xf>
    <xf numFmtId="165" fontId="155" fillId="0" borderId="18" xfId="139" applyFont="1" applyFill="1" applyBorder="1" applyAlignment="1">
      <alignment horizontal="center" vertical="center" wrapText="1"/>
    </xf>
    <xf numFmtId="0" fontId="76" fillId="0" borderId="18" xfId="0" applyFont="1" applyFill="1" applyBorder="1" applyAlignment="1">
      <alignment horizontal="left" wrapText="1"/>
    </xf>
    <xf numFmtId="0" fontId="76" fillId="0" borderId="18" xfId="0" applyFont="1" applyBorder="1" applyAlignment="1">
      <alignment vertical="top" wrapText="1"/>
    </xf>
    <xf numFmtId="165" fontId="74" fillId="0" borderId="18" xfId="0" applyNumberFormat="1" applyFont="1" applyFill="1" applyBorder="1" applyAlignment="1">
      <alignment vertical="center" wrapText="1"/>
    </xf>
    <xf numFmtId="165" fontId="155" fillId="0" borderId="18" xfId="139" applyFont="1" applyFill="1" applyBorder="1" applyAlignment="1">
      <alignment vertical="center" wrapText="1"/>
    </xf>
    <xf numFmtId="0" fontId="0" fillId="0" borderId="18" xfId="0" applyFill="1" applyBorder="1" applyAlignment="1">
      <alignment horizontal="center" vertical="center" wrapText="1"/>
    </xf>
    <xf numFmtId="0" fontId="90" fillId="0" borderId="18" xfId="133" applyFont="1" applyBorder="1" applyAlignment="1">
      <alignment horizontal="center" vertical="center"/>
    </xf>
    <xf numFmtId="0" fontId="58" fillId="0" borderId="18" xfId="133" applyFont="1" applyBorder="1" applyAlignment="1">
      <alignment horizontal="center" vertical="top" wrapText="1"/>
    </xf>
    <xf numFmtId="0" fontId="76" fillId="0" borderId="0" xfId="133" applyFont="1" applyBorder="1" applyAlignment="1">
      <alignment horizontal="left" vertical="top"/>
    </xf>
    <xf numFmtId="0" fontId="76" fillId="0" borderId="16" xfId="0" applyFont="1" applyBorder="1" applyAlignment="1">
      <alignment horizontal="left" vertical="top"/>
    </xf>
    <xf numFmtId="0" fontId="90" fillId="0" borderId="16" xfId="0" applyFont="1" applyBorder="1" applyAlignment="1">
      <alignment horizontal="left" vertical="top"/>
    </xf>
    <xf numFmtId="0" fontId="90" fillId="0" borderId="18" xfId="0" applyFont="1" applyBorder="1" applyAlignment="1">
      <alignment horizontal="left" vertical="top"/>
    </xf>
    <xf numFmtId="0" fontId="76" fillId="0" borderId="30" xfId="133" applyFont="1" applyBorder="1" applyAlignment="1">
      <alignment horizontal="left" vertical="center" wrapText="1"/>
    </xf>
    <xf numFmtId="0" fontId="58" fillId="0" borderId="30" xfId="133" applyFont="1" applyBorder="1" applyAlignment="1">
      <alignment horizontal="center" vertical="center" wrapText="1"/>
    </xf>
    <xf numFmtId="0" fontId="153" fillId="0" borderId="18" xfId="138" applyFont="1" applyFill="1" applyBorder="1" applyAlignment="1">
      <alignment horizontal="center" vertical="center"/>
    </xf>
    <xf numFmtId="0" fontId="56" fillId="0" borderId="30" xfId="133" applyFont="1" applyBorder="1" applyAlignment="1">
      <alignment horizontal="center" vertical="top" wrapText="1"/>
    </xf>
    <xf numFmtId="0" fontId="76" fillId="0" borderId="30" xfId="133" applyFont="1" applyBorder="1" applyAlignment="1">
      <alignment vertical="center" wrapText="1"/>
    </xf>
    <xf numFmtId="0" fontId="76" fillId="0" borderId="30" xfId="133" applyFont="1" applyBorder="1" applyAlignment="1">
      <alignment wrapText="1"/>
    </xf>
    <xf numFmtId="0" fontId="90" fillId="0" borderId="30" xfId="133" applyFont="1" applyBorder="1" applyAlignment="1">
      <alignment wrapText="1"/>
    </xf>
    <xf numFmtId="0" fontId="76" fillId="0" borderId="30" xfId="133" applyFont="1" applyBorder="1" applyAlignment="1">
      <alignment vertical="top"/>
    </xf>
    <xf numFmtId="0" fontId="0" fillId="0" borderId="30" xfId="0" applyBorder="1"/>
    <xf numFmtId="0" fontId="0" fillId="0" borderId="50" xfId="0" applyBorder="1"/>
    <xf numFmtId="0" fontId="0" fillId="0" borderId="30" xfId="0" applyFill="1" applyBorder="1"/>
    <xf numFmtId="0" fontId="90" fillId="0" borderId="30" xfId="133" applyFont="1" applyBorder="1" applyAlignment="1">
      <alignment horizontal="left" vertical="center" wrapText="1"/>
    </xf>
    <xf numFmtId="0" fontId="56" fillId="0" borderId="36" xfId="133" applyFont="1" applyBorder="1" applyAlignment="1">
      <alignment horizontal="center" vertical="top" wrapText="1"/>
    </xf>
    <xf numFmtId="0" fontId="58" fillId="0" borderId="17" xfId="133" applyFont="1" applyBorder="1" applyAlignment="1">
      <alignment horizontal="center" vertical="top" wrapText="1"/>
    </xf>
    <xf numFmtId="0" fontId="76" fillId="0" borderId="17" xfId="133" applyFont="1" applyBorder="1" applyAlignment="1">
      <alignment horizontal="left" vertical="center" wrapText="1"/>
    </xf>
    <xf numFmtId="2" fontId="76" fillId="0" borderId="17" xfId="133" applyNumberFormat="1" applyFont="1" applyBorder="1" applyAlignment="1">
      <alignment horizontal="center" vertical="center" wrapText="1"/>
    </xf>
    <xf numFmtId="2" fontId="76" fillId="0" borderId="17" xfId="133" applyNumberFormat="1" applyFont="1" applyBorder="1" applyAlignment="1">
      <alignment horizontal="center" wrapText="1"/>
    </xf>
    <xf numFmtId="2" fontId="90" fillId="0" borderId="17" xfId="133" applyNumberFormat="1" applyFont="1" applyBorder="1" applyAlignment="1">
      <alignment horizontal="center" vertical="center" wrapText="1"/>
    </xf>
    <xf numFmtId="2" fontId="90" fillId="0" borderId="17" xfId="133" applyNumberFormat="1" applyFont="1" applyBorder="1" applyAlignment="1">
      <alignment horizontal="center" wrapText="1"/>
    </xf>
    <xf numFmtId="2" fontId="76" fillId="0" borderId="33" xfId="133" applyNumberFormat="1" applyFont="1" applyBorder="1" applyAlignment="1">
      <alignment horizontal="center" vertical="center" wrapText="1"/>
    </xf>
    <xf numFmtId="2" fontId="76" fillId="0" borderId="34" xfId="133" applyNumberFormat="1" applyFont="1" applyBorder="1" applyAlignment="1">
      <alignment horizontal="center" vertical="center" wrapText="1"/>
    </xf>
    <xf numFmtId="2" fontId="76" fillId="0" borderId="35" xfId="133" applyNumberFormat="1" applyFont="1" applyBorder="1" applyAlignment="1">
      <alignment horizontal="center" vertical="center" wrapText="1"/>
    </xf>
    <xf numFmtId="2" fontId="76" fillId="0" borderId="15" xfId="133" applyNumberFormat="1" applyFont="1" applyBorder="1" applyAlignment="1">
      <alignment horizontal="left" vertical="top"/>
    </xf>
    <xf numFmtId="2" fontId="76" fillId="0" borderId="15" xfId="133" applyNumberFormat="1" applyFont="1" applyBorder="1" applyAlignment="1">
      <alignment horizontal="center" vertical="center"/>
    </xf>
    <xf numFmtId="0" fontId="76" fillId="0" borderId="19" xfId="133" applyFont="1" applyBorder="1" applyAlignment="1">
      <alignment horizontal="left" vertical="top"/>
    </xf>
    <xf numFmtId="0" fontId="90" fillId="0" borderId="0" xfId="0" applyFont="1" applyBorder="1" applyAlignment="1">
      <alignment horizontal="left" vertical="center"/>
    </xf>
    <xf numFmtId="0" fontId="90" fillId="0" borderId="15" xfId="0" applyFont="1" applyBorder="1" applyAlignment="1">
      <alignment horizontal="center" vertical="center"/>
    </xf>
    <xf numFmtId="0" fontId="90" fillId="0" borderId="15" xfId="0" applyFont="1" applyBorder="1" applyAlignment="1">
      <alignment horizontal="left" wrapText="1"/>
    </xf>
    <xf numFmtId="0" fontId="90" fillId="0" borderId="15" xfId="0" applyFont="1" applyBorder="1" applyAlignment="1">
      <alignment horizontal="left" vertical="top"/>
    </xf>
    <xf numFmtId="0" fontId="76" fillId="0" borderId="17" xfId="0" applyFont="1" applyBorder="1" applyAlignment="1">
      <alignment horizontal="left" vertical="top"/>
    </xf>
    <xf numFmtId="0" fontId="76" fillId="0" borderId="17" xfId="0" applyFont="1" applyBorder="1" applyAlignment="1">
      <alignment horizontal="center" vertical="center"/>
    </xf>
    <xf numFmtId="4" fontId="76" fillId="0" borderId="18" xfId="0" applyNumberFormat="1" applyFont="1" applyBorder="1" applyAlignment="1">
      <alignment horizontal="center" vertical="top"/>
    </xf>
    <xf numFmtId="0" fontId="76" fillId="0" borderId="17" xfId="0" applyFont="1" applyBorder="1" applyAlignment="1">
      <alignment horizontal="right" vertical="top"/>
    </xf>
    <xf numFmtId="179" fontId="76" fillId="0" borderId="30" xfId="0" applyNumberFormat="1" applyFont="1" applyBorder="1" applyAlignment="1">
      <alignment vertical="center"/>
    </xf>
    <xf numFmtId="14" fontId="90" fillId="0" borderId="0" xfId="0" applyNumberFormat="1" applyFont="1" applyBorder="1"/>
    <xf numFmtId="0" fontId="76" fillId="0" borderId="68" xfId="0" applyFont="1" applyBorder="1" applyAlignment="1">
      <alignment horizontal="center" vertical="center" wrapText="1"/>
    </xf>
    <xf numFmtId="0" fontId="76" fillId="0" borderId="68" xfId="0" applyFont="1" applyBorder="1" applyAlignment="1">
      <alignment horizontal="left" vertical="center" wrapText="1"/>
    </xf>
    <xf numFmtId="0" fontId="76" fillId="0" borderId="45" xfId="0" applyFont="1" applyBorder="1" applyAlignment="1">
      <alignment horizontal="center" vertical="center" wrapText="1"/>
    </xf>
    <xf numFmtId="0" fontId="76" fillId="0" borderId="18" xfId="137" applyFont="1" applyBorder="1" applyAlignment="1">
      <alignment horizontal="center" vertical="center"/>
    </xf>
    <xf numFmtId="0" fontId="76" fillId="0" borderId="45" xfId="137" applyFont="1" applyBorder="1" applyAlignment="1">
      <alignment horizontal="center" vertical="center" wrapText="1"/>
    </xf>
    <xf numFmtId="0" fontId="76" fillId="0" borderId="19" xfId="137" applyFont="1" applyBorder="1" applyAlignment="1">
      <alignment horizontal="center" vertical="center"/>
    </xf>
    <xf numFmtId="2" fontId="76" fillId="0" borderId="19" xfId="0" applyNumberFormat="1" applyFont="1" applyBorder="1" applyAlignment="1">
      <alignment horizontal="center" vertical="center"/>
    </xf>
    <xf numFmtId="0" fontId="76" fillId="0" borderId="18" xfId="137" applyFont="1" applyBorder="1" applyAlignment="1">
      <alignment horizontal="center" vertical="center" wrapText="1"/>
    </xf>
    <xf numFmtId="2" fontId="76" fillId="0" borderId="19" xfId="137" applyNumberFormat="1" applyFont="1" applyBorder="1" applyAlignment="1">
      <alignment horizontal="center" vertical="center"/>
    </xf>
    <xf numFmtId="10" fontId="76" fillId="0" borderId="18" xfId="137" applyNumberFormat="1" applyFont="1" applyBorder="1" applyAlignment="1">
      <alignment horizontal="center" vertical="center"/>
    </xf>
    <xf numFmtId="10" fontId="76" fillId="0" borderId="19" xfId="137" applyNumberFormat="1" applyFont="1" applyBorder="1" applyAlignment="1">
      <alignment horizontal="center" vertical="center"/>
    </xf>
    <xf numFmtId="10" fontId="56" fillId="0" borderId="19" xfId="137" applyNumberFormat="1" applyFont="1" applyBorder="1" applyAlignment="1">
      <alignment horizontal="center" vertical="center"/>
    </xf>
    <xf numFmtId="10" fontId="76" fillId="0" borderId="19" xfId="137" applyNumberFormat="1" applyFont="1" applyBorder="1" applyAlignment="1">
      <alignment horizontal="center" vertical="center" wrapText="1"/>
    </xf>
    <xf numFmtId="0" fontId="56" fillId="0" borderId="18" xfId="0" applyFont="1" applyBorder="1" applyAlignment="1">
      <alignment horizontal="center" vertical="center"/>
    </xf>
    <xf numFmtId="0" fontId="56" fillId="0" borderId="18" xfId="137" applyFont="1" applyBorder="1" applyAlignment="1">
      <alignment horizontal="center" vertical="center"/>
    </xf>
    <xf numFmtId="17" fontId="76" fillId="0" borderId="18" xfId="0" applyNumberFormat="1" applyFont="1" applyBorder="1" applyAlignment="1">
      <alignment horizontal="center" vertical="center"/>
    </xf>
    <xf numFmtId="17" fontId="76" fillId="0" borderId="19" xfId="0" applyNumberFormat="1" applyFont="1" applyBorder="1" applyAlignment="1">
      <alignment horizontal="center" vertical="center"/>
    </xf>
    <xf numFmtId="15" fontId="56" fillId="0" borderId="18" xfId="137" applyNumberFormat="1" applyFont="1" applyBorder="1" applyAlignment="1">
      <alignment horizontal="center" vertical="center"/>
    </xf>
    <xf numFmtId="15" fontId="56" fillId="0" borderId="19" xfId="137" applyNumberFormat="1" applyFont="1" applyBorder="1" applyAlignment="1">
      <alignment horizontal="center" vertical="center"/>
    </xf>
    <xf numFmtId="0" fontId="76" fillId="0" borderId="19" xfId="137" applyFont="1" applyBorder="1" applyAlignment="1">
      <alignment horizontal="center" vertical="center" wrapText="1"/>
    </xf>
    <xf numFmtId="2" fontId="76" fillId="0" borderId="1" xfId="0" applyNumberFormat="1" applyFont="1" applyBorder="1" applyAlignment="1">
      <alignment horizontal="center" vertical="center" wrapText="1"/>
    </xf>
    <xf numFmtId="2" fontId="76" fillId="0" borderId="45" xfId="0" applyNumberFormat="1" applyFont="1" applyBorder="1" applyAlignment="1">
      <alignment horizontal="center" vertical="center" wrapText="1"/>
    </xf>
    <xf numFmtId="2" fontId="56" fillId="0" borderId="1" xfId="137" applyNumberFormat="1" applyFont="1" applyBorder="1" applyAlignment="1">
      <alignment horizontal="center" vertical="center" wrapText="1"/>
    </xf>
    <xf numFmtId="2" fontId="56" fillId="0" borderId="45" xfId="137" applyNumberFormat="1" applyFont="1" applyBorder="1" applyAlignment="1">
      <alignment horizontal="center" vertical="center" wrapText="1"/>
    </xf>
    <xf numFmtId="0" fontId="90" fillId="0" borderId="24" xfId="0" applyFont="1" applyBorder="1" applyAlignment="1">
      <alignment horizontal="center" vertical="center"/>
    </xf>
    <xf numFmtId="0" fontId="76" fillId="0" borderId="0" xfId="0" applyFont="1" applyBorder="1" applyAlignment="1">
      <alignment horizontal="center" vertical="top"/>
    </xf>
    <xf numFmtId="164" fontId="58" fillId="0" borderId="14" xfId="0" applyNumberFormat="1" applyFont="1" applyBorder="1" applyAlignment="1">
      <alignment horizontal="center" vertical="center"/>
    </xf>
    <xf numFmtId="0" fontId="58" fillId="0" borderId="16" xfId="0" applyFont="1" applyBorder="1" applyAlignment="1">
      <alignment horizontal="center" vertical="center"/>
    </xf>
    <xf numFmtId="0" fontId="58" fillId="0" borderId="15" xfId="0" applyFont="1" applyBorder="1" applyAlignment="1">
      <alignment horizontal="left" vertical="top"/>
    </xf>
    <xf numFmtId="0" fontId="58" fillId="0" borderId="16" xfId="0" applyFont="1" applyBorder="1" applyAlignment="1">
      <alignment horizontal="left" vertical="top"/>
    </xf>
    <xf numFmtId="0" fontId="58" fillId="0" borderId="68" xfId="0" applyFont="1" applyBorder="1" applyAlignment="1">
      <alignment horizontal="center" vertical="center" wrapText="1"/>
    </xf>
    <xf numFmtId="0" fontId="58" fillId="0" borderId="1"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45" xfId="0" applyFont="1" applyBorder="1" applyAlignment="1">
      <alignment horizontal="center" vertical="center" wrapText="1"/>
    </xf>
    <xf numFmtId="0" fontId="58" fillId="0" borderId="1" xfId="137" applyFont="1" applyBorder="1" applyAlignment="1">
      <alignment horizontal="center" vertical="center" wrapText="1"/>
    </xf>
    <xf numFmtId="0" fontId="58" fillId="0" borderId="45" xfId="137" applyFont="1" applyBorder="1" applyAlignment="1">
      <alignment horizontal="center" vertical="center" wrapText="1"/>
    </xf>
    <xf numFmtId="1" fontId="90" fillId="0" borderId="68" xfId="0" applyNumberFormat="1" applyFont="1" applyBorder="1" applyAlignment="1">
      <alignment horizontal="center" vertical="center" shrinkToFit="1"/>
    </xf>
    <xf numFmtId="1" fontId="90" fillId="0" borderId="1" xfId="0" applyNumberFormat="1" applyFont="1" applyBorder="1" applyAlignment="1">
      <alignment horizontal="center" vertical="center" shrinkToFit="1"/>
    </xf>
    <xf numFmtId="1" fontId="90" fillId="0" borderId="2" xfId="0" applyNumberFormat="1" applyFont="1" applyBorder="1" applyAlignment="1">
      <alignment horizontal="center" vertical="center" shrinkToFit="1"/>
    </xf>
    <xf numFmtId="1" fontId="90" fillId="0" borderId="45" xfId="0" applyNumberFormat="1" applyFont="1" applyBorder="1" applyAlignment="1">
      <alignment horizontal="center" vertical="center" shrinkToFit="1"/>
    </xf>
    <xf numFmtId="1" fontId="90" fillId="0" borderId="1" xfId="137" applyNumberFormat="1" applyFont="1" applyBorder="1" applyAlignment="1">
      <alignment horizontal="center" vertical="center" shrinkToFit="1"/>
    </xf>
    <xf numFmtId="1" fontId="90" fillId="0" borderId="45" xfId="137" applyNumberFormat="1" applyFont="1" applyBorder="1" applyAlignment="1">
      <alignment horizontal="center" vertical="center" shrinkToFit="1"/>
    </xf>
    <xf numFmtId="0" fontId="56" fillId="0" borderId="68" xfId="0" applyFont="1" applyBorder="1" applyAlignment="1">
      <alignment horizontal="left" vertical="center" wrapText="1"/>
    </xf>
    <xf numFmtId="0" fontId="56" fillId="0" borderId="15" xfId="0" applyFont="1" applyBorder="1" applyAlignment="1">
      <alignment horizontal="left" vertical="top"/>
    </xf>
    <xf numFmtId="0" fontId="56" fillId="0" borderId="17" xfId="0" applyFont="1" applyFill="1" applyBorder="1" applyAlignment="1">
      <alignment vertical="center"/>
    </xf>
    <xf numFmtId="0" fontId="58" fillId="0" borderId="15" xfId="138" applyFont="1" applyFill="1" applyBorder="1" applyAlignment="1">
      <alignment horizontal="left" vertical="center" wrapText="1"/>
    </xf>
    <xf numFmtId="0" fontId="116" fillId="0" borderId="12" xfId="125" applyFont="1" applyBorder="1"/>
    <xf numFmtId="0" fontId="116" fillId="0" borderId="13" xfId="125" applyFont="1" applyBorder="1"/>
    <xf numFmtId="0" fontId="115" fillId="0" borderId="13" xfId="125" applyFont="1" applyBorder="1"/>
    <xf numFmtId="0" fontId="116" fillId="0" borderId="14" xfId="125" applyFont="1" applyBorder="1"/>
    <xf numFmtId="0" fontId="116" fillId="0" borderId="15" xfId="125" applyFont="1" applyBorder="1"/>
    <xf numFmtId="0" fontId="116" fillId="0" borderId="16" xfId="125" applyFont="1" applyBorder="1"/>
    <xf numFmtId="0" fontId="115" fillId="0" borderId="15" xfId="125" applyFont="1" applyBorder="1"/>
    <xf numFmtId="0" fontId="115" fillId="0" borderId="18" xfId="125" applyFont="1" applyBorder="1" applyAlignment="1">
      <alignment horizontal="center" vertical="center" wrapText="1"/>
    </xf>
    <xf numFmtId="0" fontId="115" fillId="0" borderId="30" xfId="125" applyFont="1" applyBorder="1" applyAlignment="1">
      <alignment horizontal="center" vertical="center" wrapText="1"/>
    </xf>
    <xf numFmtId="0" fontId="115" fillId="0" borderId="38" xfId="125" applyFont="1" applyBorder="1" applyAlignment="1">
      <alignment horizontal="center" vertical="center" wrapText="1"/>
    </xf>
    <xf numFmtId="0" fontId="115" fillId="0" borderId="19" xfId="125" applyFont="1" applyBorder="1" applyAlignment="1">
      <alignment horizontal="center" vertical="center" wrapText="1"/>
    </xf>
    <xf numFmtId="0" fontId="115" fillId="0" borderId="17" xfId="125" applyFont="1" applyBorder="1" applyAlignment="1">
      <alignment horizontal="center"/>
    </xf>
    <xf numFmtId="0" fontId="115" fillId="0" borderId="18" xfId="125" applyFont="1" applyBorder="1" applyAlignment="1">
      <alignment horizontal="center"/>
    </xf>
    <xf numFmtId="0" fontId="115" fillId="0" borderId="30" xfId="125" applyFont="1" applyBorder="1" applyAlignment="1">
      <alignment horizontal="center"/>
    </xf>
    <xf numFmtId="0" fontId="115" fillId="0" borderId="19" xfId="125" applyFont="1" applyBorder="1" applyAlignment="1">
      <alignment horizontal="center"/>
    </xf>
    <xf numFmtId="0" fontId="116" fillId="0" borderId="17" xfId="125" applyFont="1" applyBorder="1" applyAlignment="1">
      <alignment horizontal="left"/>
    </xf>
    <xf numFmtId="0" fontId="116" fillId="0" borderId="18" xfId="125" applyFont="1" applyBorder="1" applyAlignment="1">
      <alignment horizontal="center"/>
    </xf>
    <xf numFmtId="0" fontId="116" fillId="0" borderId="30" xfId="125" applyFont="1" applyBorder="1" applyAlignment="1">
      <alignment horizontal="center"/>
    </xf>
    <xf numFmtId="0" fontId="116" fillId="0" borderId="18" xfId="125" applyFont="1" applyBorder="1"/>
    <xf numFmtId="0" fontId="116" fillId="0" borderId="30" xfId="125" applyFont="1" applyBorder="1"/>
    <xf numFmtId="0" fontId="116" fillId="0" borderId="19" xfId="125" applyFont="1" applyBorder="1"/>
    <xf numFmtId="2" fontId="116" fillId="0" borderId="30" xfId="125" applyNumberFormat="1" applyFont="1" applyBorder="1" applyAlignment="1">
      <alignment horizontal="center" vertical="center"/>
    </xf>
    <xf numFmtId="2" fontId="116" fillId="0" borderId="19" xfId="125" applyNumberFormat="1" applyFont="1" applyBorder="1" applyAlignment="1">
      <alignment horizontal="center" vertical="center"/>
    </xf>
    <xf numFmtId="10" fontId="116" fillId="0" borderId="30" xfId="124" applyNumberFormat="1" applyFont="1" applyBorder="1" applyAlignment="1">
      <alignment horizontal="center" vertical="center"/>
    </xf>
    <xf numFmtId="0" fontId="116" fillId="0" borderId="17" xfId="125" applyFont="1" applyBorder="1" applyAlignment="1">
      <alignment horizontal="left" wrapText="1"/>
    </xf>
    <xf numFmtId="2" fontId="116" fillId="0" borderId="18" xfId="125" applyNumberFormat="1" applyFont="1" applyBorder="1" applyAlignment="1">
      <alignment horizontal="center"/>
    </xf>
    <xf numFmtId="2" fontId="116" fillId="0" borderId="19" xfId="125" applyNumberFormat="1" applyFont="1" applyBorder="1" applyAlignment="1">
      <alignment horizontal="center"/>
    </xf>
    <xf numFmtId="0" fontId="116" fillId="0" borderId="17" xfId="125" applyFont="1" applyBorder="1"/>
    <xf numFmtId="2" fontId="116" fillId="0" borderId="18" xfId="125" applyNumberFormat="1" applyFont="1" applyBorder="1"/>
    <xf numFmtId="0" fontId="115" fillId="0" borderId="17" xfId="125" applyFont="1" applyBorder="1"/>
    <xf numFmtId="0" fontId="116" fillId="0" borderId="17" xfId="125" applyFont="1" applyBorder="1" applyAlignment="1">
      <alignment vertical="center"/>
    </xf>
    <xf numFmtId="2" fontId="115" fillId="0" borderId="18" xfId="125" applyNumberFormat="1" applyFont="1" applyBorder="1" applyAlignment="1">
      <alignment horizontal="center" vertical="center"/>
    </xf>
    <xf numFmtId="2" fontId="115" fillId="0" borderId="30" xfId="125" applyNumberFormat="1" applyFont="1" applyBorder="1" applyAlignment="1">
      <alignment horizontal="center" vertical="center"/>
    </xf>
    <xf numFmtId="2" fontId="115" fillId="0" borderId="19" xfId="125" applyNumberFormat="1" applyFont="1" applyBorder="1" applyAlignment="1">
      <alignment horizontal="center" vertical="center"/>
    </xf>
    <xf numFmtId="0" fontId="116" fillId="0" borderId="20" xfId="125" applyFont="1" applyBorder="1" applyAlignment="1">
      <alignment vertical="center" wrapText="1"/>
    </xf>
    <xf numFmtId="2" fontId="115" fillId="0" borderId="21" xfId="125" applyNumberFormat="1" applyFont="1" applyBorder="1" applyAlignment="1">
      <alignment horizontal="center" vertical="center"/>
    </xf>
    <xf numFmtId="2" fontId="115" fillId="0" borderId="22" xfId="125" applyNumberFormat="1" applyFont="1" applyBorder="1" applyAlignment="1">
      <alignment horizontal="center" vertical="center"/>
    </xf>
    <xf numFmtId="0" fontId="115" fillId="0" borderId="33" xfId="125" applyFont="1" applyBorder="1" applyAlignment="1">
      <alignment vertical="center" wrapText="1"/>
    </xf>
    <xf numFmtId="2" fontId="115" fillId="0" borderId="34" xfId="125" applyNumberFormat="1" applyFont="1" applyBorder="1" applyAlignment="1">
      <alignment horizontal="center" vertical="center"/>
    </xf>
    <xf numFmtId="2" fontId="115" fillId="0" borderId="35" xfId="125" applyNumberFormat="1" applyFont="1" applyBorder="1" applyAlignment="1">
      <alignment horizontal="center" vertical="center"/>
    </xf>
    <xf numFmtId="0" fontId="116" fillId="0" borderId="15" xfId="125" applyFont="1" applyBorder="1" applyAlignment="1">
      <alignment horizontal="left"/>
    </xf>
    <xf numFmtId="0" fontId="116" fillId="0" borderId="23" xfId="125" applyFont="1" applyBorder="1"/>
    <xf numFmtId="0" fontId="116" fillId="0" borderId="24" xfId="125" applyFont="1" applyBorder="1"/>
    <xf numFmtId="0" fontId="116" fillId="0" borderId="25" xfId="125" applyFont="1" applyBorder="1"/>
    <xf numFmtId="0" fontId="116" fillId="0" borderId="0" xfId="125" applyFont="1" applyBorder="1"/>
    <xf numFmtId="0" fontId="115" fillId="0" borderId="0" xfId="125" applyFont="1" applyBorder="1"/>
    <xf numFmtId="10" fontId="116" fillId="0" borderId="19" xfId="124" applyNumberFormat="1" applyFont="1" applyBorder="1" applyAlignment="1">
      <alignment horizontal="center" vertical="center"/>
    </xf>
    <xf numFmtId="0" fontId="116" fillId="0" borderId="0" xfId="125" applyFont="1" applyBorder="1" applyAlignment="1">
      <alignment horizontal="left"/>
    </xf>
    <xf numFmtId="0" fontId="116" fillId="0" borderId="12" xfId="121" applyFont="1" applyBorder="1" applyAlignment="1">
      <alignment wrapText="1"/>
    </xf>
    <xf numFmtId="0" fontId="116" fillId="0" borderId="13" xfId="121" applyFont="1" applyBorder="1" applyAlignment="1">
      <alignment wrapText="1"/>
    </xf>
    <xf numFmtId="0" fontId="58" fillId="0" borderId="13" xfId="0" applyFont="1" applyBorder="1" applyAlignment="1">
      <alignment horizontal="left" vertical="top" wrapText="1" indent="3"/>
    </xf>
    <xf numFmtId="0" fontId="76" fillId="0" borderId="13" xfId="0" applyFont="1" applyFill="1" applyBorder="1" applyAlignment="1">
      <alignment horizontal="left" vertical="top"/>
    </xf>
    <xf numFmtId="0" fontId="116" fillId="0" borderId="14" xfId="121" applyFont="1" applyBorder="1" applyAlignment="1">
      <alignment wrapText="1"/>
    </xf>
    <xf numFmtId="0" fontId="116" fillId="0" borderId="15" xfId="121" applyFont="1" applyBorder="1" applyAlignment="1">
      <alignment wrapText="1"/>
    </xf>
    <xf numFmtId="0" fontId="116" fillId="0" borderId="0" xfId="121" applyFont="1" applyBorder="1" applyAlignment="1">
      <alignment wrapText="1"/>
    </xf>
    <xf numFmtId="0" fontId="76" fillId="0" borderId="0" xfId="0" applyFont="1" applyFill="1" applyBorder="1" applyAlignment="1">
      <alignment horizontal="left" vertical="top"/>
    </xf>
    <xf numFmtId="0" fontId="116" fillId="0" borderId="16" xfId="121" applyFont="1" applyBorder="1" applyAlignment="1">
      <alignment wrapText="1"/>
    </xf>
    <xf numFmtId="0" fontId="58" fillId="0" borderId="0" xfId="0" applyFont="1" applyBorder="1" applyAlignment="1">
      <alignment horizontal="left" vertical="top"/>
    </xf>
    <xf numFmtId="0" fontId="115" fillId="0" borderId="0" xfId="121" applyFont="1" applyBorder="1" applyAlignment="1">
      <alignment horizontal="center" vertical="center" wrapText="1"/>
    </xf>
    <xf numFmtId="0" fontId="115" fillId="0" borderId="0" xfId="121" applyFont="1" applyFill="1" applyBorder="1" applyAlignment="1">
      <alignment horizontal="center" vertical="center" wrapText="1"/>
    </xf>
    <xf numFmtId="0" fontId="90" fillId="0" borderId="0" xfId="121" applyFont="1" applyBorder="1" applyAlignment="1">
      <alignment vertical="center"/>
    </xf>
    <xf numFmtId="0" fontId="90" fillId="0" borderId="0" xfId="121" applyFont="1" applyFill="1" applyBorder="1" applyAlignment="1">
      <alignment vertical="center"/>
    </xf>
    <xf numFmtId="0" fontId="76" fillId="0" borderId="0" xfId="121" applyFont="1" applyFill="1" applyBorder="1" applyAlignment="1">
      <alignment horizontal="center" vertical="center" wrapText="1"/>
    </xf>
    <xf numFmtId="41" fontId="90" fillId="0" borderId="17" xfId="121" applyNumberFormat="1" applyFont="1" applyBorder="1" applyAlignment="1">
      <alignment horizontal="center" vertical="center" wrapText="1"/>
    </xf>
    <xf numFmtId="41" fontId="90" fillId="0" borderId="18" xfId="121" applyNumberFormat="1" applyFont="1" applyBorder="1" applyAlignment="1">
      <alignment horizontal="center" vertical="center" wrapText="1"/>
    </xf>
    <xf numFmtId="41" fontId="90" fillId="0" borderId="18" xfId="121" applyNumberFormat="1" applyFont="1" applyFill="1" applyBorder="1" applyAlignment="1">
      <alignment horizontal="center" vertical="center" wrapText="1"/>
    </xf>
    <xf numFmtId="41" fontId="90" fillId="0" borderId="30" xfId="121" applyNumberFormat="1" applyFont="1" applyFill="1" applyBorder="1" applyAlignment="1">
      <alignment horizontal="center" vertical="center" wrapText="1"/>
    </xf>
    <xf numFmtId="0" fontId="116" fillId="0" borderId="18" xfId="121" applyFont="1" applyFill="1" applyBorder="1" applyAlignment="1">
      <alignment wrapText="1"/>
    </xf>
    <xf numFmtId="0" fontId="116" fillId="0" borderId="18" xfId="121" applyFont="1" applyBorder="1" applyAlignment="1">
      <alignment wrapText="1"/>
    </xf>
    <xf numFmtId="0" fontId="116" fillId="0" borderId="19" xfId="121" applyFont="1" applyBorder="1" applyAlignment="1">
      <alignment wrapText="1"/>
    </xf>
    <xf numFmtId="0" fontId="90" fillId="0" borderId="18" xfId="121" applyFont="1" applyFill="1" applyBorder="1" applyAlignment="1">
      <alignment vertical="center"/>
    </xf>
    <xf numFmtId="0" fontId="90" fillId="0" borderId="30" xfId="121" applyFont="1" applyFill="1" applyBorder="1" applyAlignment="1">
      <alignment vertical="center"/>
    </xf>
    <xf numFmtId="0" fontId="90" fillId="0" borderId="18" xfId="121" applyFont="1" applyBorder="1" applyAlignment="1">
      <alignment vertical="center"/>
    </xf>
    <xf numFmtId="10" fontId="90" fillId="0" borderId="18" xfId="121" applyNumberFormat="1" applyFont="1" applyFill="1" applyBorder="1" applyAlignment="1">
      <alignment horizontal="center" vertical="center" wrapText="1"/>
    </xf>
    <xf numFmtId="0" fontId="90" fillId="0" borderId="30" xfId="121" applyFont="1" applyFill="1" applyBorder="1" applyAlignment="1">
      <alignment horizontal="center" vertical="center" wrapText="1"/>
    </xf>
    <xf numFmtId="2" fontId="116" fillId="0" borderId="30" xfId="121" applyNumberFormat="1" applyFont="1" applyFill="1" applyBorder="1" applyAlignment="1">
      <alignment horizontal="center" vertical="center" wrapText="1"/>
    </xf>
    <xf numFmtId="2" fontId="116" fillId="0" borderId="18" xfId="121" applyNumberFormat="1" applyFont="1" applyFill="1" applyBorder="1" applyAlignment="1">
      <alignment horizontal="center" vertical="center" wrapText="1"/>
    </xf>
    <xf numFmtId="170" fontId="116" fillId="0" borderId="18" xfId="121" applyNumberFormat="1" applyFont="1" applyFill="1" applyBorder="1" applyAlignment="1">
      <alignment horizontal="center" vertical="center" wrapText="1"/>
    </xf>
    <xf numFmtId="2" fontId="116" fillId="0" borderId="18" xfId="121" applyNumberFormat="1" applyFont="1" applyBorder="1" applyAlignment="1">
      <alignment horizontal="center" vertical="center" wrapText="1"/>
    </xf>
    <xf numFmtId="0" fontId="90" fillId="0" borderId="30" xfId="121" applyFont="1" applyBorder="1" applyAlignment="1">
      <alignment horizontal="left" vertical="center"/>
    </xf>
    <xf numFmtId="0" fontId="76" fillId="0" borderId="18" xfId="121" applyFont="1" applyBorder="1" applyAlignment="1">
      <alignment vertical="center" wrapText="1"/>
    </xf>
    <xf numFmtId="10" fontId="76" fillId="0" borderId="18" xfId="121" applyNumberFormat="1" applyFont="1" applyFill="1" applyBorder="1" applyAlignment="1">
      <alignment horizontal="center" vertical="center" wrapText="1"/>
    </xf>
    <xf numFmtId="0" fontId="76" fillId="0" borderId="18" xfId="121" applyFont="1" applyFill="1" applyBorder="1" applyAlignment="1">
      <alignment horizontal="center" vertical="center" wrapText="1"/>
    </xf>
    <xf numFmtId="0" fontId="76" fillId="0" borderId="30" xfId="121" applyFont="1" applyFill="1" applyBorder="1" applyAlignment="1">
      <alignment horizontal="center" vertical="center" wrapText="1"/>
    </xf>
    <xf numFmtId="2" fontId="76" fillId="0" borderId="30" xfId="121" applyNumberFormat="1" applyFont="1" applyFill="1" applyBorder="1" applyAlignment="1">
      <alignment horizontal="center" vertical="center" wrapText="1"/>
    </xf>
    <xf numFmtId="0" fontId="115" fillId="0" borderId="18" xfId="121" applyFont="1" applyBorder="1" applyAlignment="1">
      <alignment vertical="center" wrapText="1"/>
    </xf>
    <xf numFmtId="0" fontId="115" fillId="0" borderId="18" xfId="121" applyFont="1" applyFill="1" applyBorder="1" applyAlignment="1">
      <alignment horizontal="center" vertical="center" wrapText="1"/>
    </xf>
    <xf numFmtId="2" fontId="90" fillId="0" borderId="18" xfId="121" applyNumberFormat="1" applyFont="1" applyFill="1" applyBorder="1" applyAlignment="1">
      <alignment horizontal="center" vertical="center" wrapText="1"/>
    </xf>
    <xf numFmtId="170" fontId="90" fillId="0" borderId="30" xfId="121" applyNumberFormat="1" applyFont="1" applyFill="1" applyBorder="1" applyAlignment="1">
      <alignment horizontal="center" vertical="center" wrapText="1"/>
    </xf>
    <xf numFmtId="2" fontId="90" fillId="0" borderId="30" xfId="121" applyNumberFormat="1" applyFont="1" applyBorder="1" applyAlignment="1">
      <alignment horizontal="center" vertical="center" wrapText="1"/>
    </xf>
    <xf numFmtId="2" fontId="90" fillId="0" borderId="19" xfId="121" applyNumberFormat="1" applyFont="1" applyBorder="1" applyAlignment="1">
      <alignment horizontal="center" vertical="center" wrapText="1"/>
    </xf>
    <xf numFmtId="0" fontId="90" fillId="0" borderId="18" xfId="121" applyFont="1" applyBorder="1" applyAlignment="1">
      <alignment vertical="center" wrapText="1"/>
    </xf>
    <xf numFmtId="2" fontId="115" fillId="0" borderId="18" xfId="121" applyNumberFormat="1" applyFont="1" applyFill="1" applyBorder="1" applyAlignment="1">
      <alignment horizontal="center" vertical="center" wrapText="1"/>
    </xf>
    <xf numFmtId="2" fontId="90" fillId="0" borderId="18" xfId="121" applyNumberFormat="1" applyFont="1" applyBorder="1" applyAlignment="1">
      <alignment horizontal="center" vertical="center" wrapText="1"/>
    </xf>
    <xf numFmtId="2" fontId="116" fillId="0" borderId="19" xfId="121" applyNumberFormat="1" applyFont="1" applyBorder="1" applyAlignment="1">
      <alignment horizontal="center" vertical="center" wrapText="1"/>
    </xf>
    <xf numFmtId="10" fontId="90" fillId="0" borderId="18" xfId="124" applyNumberFormat="1" applyFont="1" applyFill="1" applyBorder="1" applyAlignment="1">
      <alignment horizontal="center" vertical="center" wrapText="1"/>
    </xf>
    <xf numFmtId="10" fontId="115" fillId="0" borderId="18" xfId="124" applyNumberFormat="1" applyFont="1" applyFill="1" applyBorder="1" applyAlignment="1">
      <alignment horizontal="center" vertical="center" wrapText="1"/>
    </xf>
    <xf numFmtId="0" fontId="116" fillId="0" borderId="0" xfId="121" applyFont="1" applyBorder="1" applyAlignment="1">
      <alignment vertical="center" wrapText="1"/>
    </xf>
    <xf numFmtId="0" fontId="76" fillId="0" borderId="0" xfId="121" applyFont="1" applyBorder="1" applyAlignment="1">
      <alignment vertical="center"/>
    </xf>
    <xf numFmtId="0" fontId="76" fillId="0" borderId="0" xfId="121" applyFont="1" applyFill="1" applyBorder="1" applyAlignment="1">
      <alignment vertical="center"/>
    </xf>
    <xf numFmtId="0" fontId="116" fillId="0" borderId="0" xfId="121" applyFont="1" applyBorder="1"/>
    <xf numFmtId="2" fontId="116" fillId="0" borderId="0" xfId="121" applyNumberFormat="1" applyFont="1" applyBorder="1"/>
    <xf numFmtId="0" fontId="116" fillId="0" borderId="23" xfId="121" applyFont="1" applyBorder="1" applyAlignment="1">
      <alignment wrapText="1"/>
    </xf>
    <xf numFmtId="0" fontId="116" fillId="0" borderId="24" xfId="121" applyFont="1" applyBorder="1" applyAlignment="1">
      <alignment wrapText="1"/>
    </xf>
    <xf numFmtId="0" fontId="116" fillId="0" borderId="24" xfId="121" applyFont="1" applyFill="1" applyBorder="1" applyAlignment="1">
      <alignment wrapText="1"/>
    </xf>
    <xf numFmtId="0" fontId="116" fillId="0" borderId="25" xfId="121" applyFont="1" applyBorder="1" applyAlignment="1">
      <alignment wrapText="1"/>
    </xf>
    <xf numFmtId="4" fontId="76" fillId="0" borderId="18" xfId="0" applyNumberFormat="1" applyFont="1" applyBorder="1" applyAlignment="1">
      <alignment horizontal="center" vertical="center" wrapText="1"/>
    </xf>
    <xf numFmtId="2" fontId="76" fillId="0" borderId="19" xfId="0" applyNumberFormat="1" applyFont="1" applyBorder="1" applyAlignment="1">
      <alignment horizontal="center" vertical="center" wrapText="1"/>
    </xf>
    <xf numFmtId="4" fontId="76" fillId="0" borderId="0" xfId="0" applyNumberFormat="1" applyFont="1" applyBorder="1" applyAlignment="1">
      <alignment horizontal="center" vertical="center" wrapText="1"/>
    </xf>
    <xf numFmtId="0" fontId="74" fillId="0" borderId="18" xfId="0" applyFont="1" applyBorder="1" applyAlignment="1">
      <alignment horizontal="center" vertical="center"/>
    </xf>
    <xf numFmtId="0" fontId="74" fillId="0" borderId="30" xfId="0" applyFont="1" applyBorder="1" applyAlignment="1">
      <alignment horizontal="center" vertical="center"/>
    </xf>
    <xf numFmtId="0" fontId="74" fillId="0" borderId="19" xfId="0" applyFont="1" applyBorder="1" applyAlignment="1">
      <alignment horizontal="center" vertical="center"/>
    </xf>
    <xf numFmtId="0" fontId="116" fillId="0" borderId="12" xfId="125" applyFont="1" applyBorder="1" applyAlignment="1">
      <alignment vertical="center"/>
    </xf>
    <xf numFmtId="0" fontId="116" fillId="0" borderId="13" xfId="125" applyFont="1" applyBorder="1" applyAlignment="1">
      <alignment vertical="center"/>
    </xf>
    <xf numFmtId="0" fontId="73" fillId="0" borderId="13" xfId="0" applyFont="1" applyBorder="1" applyAlignment="1">
      <alignment horizontal="left" vertical="center"/>
    </xf>
    <xf numFmtId="0" fontId="116" fillId="0" borderId="15" xfId="125" applyFont="1" applyBorder="1" applyAlignment="1">
      <alignment vertical="center"/>
    </xf>
    <xf numFmtId="0" fontId="73" fillId="0" borderId="16" xfId="0" applyFont="1" applyBorder="1" applyAlignment="1">
      <alignment horizontal="left" vertical="center"/>
    </xf>
    <xf numFmtId="0" fontId="115" fillId="0" borderId="15" xfId="125" applyFont="1" applyBorder="1" applyAlignment="1">
      <alignment vertical="center"/>
    </xf>
    <xf numFmtId="0" fontId="115" fillId="0" borderId="19" xfId="125" applyFont="1" applyBorder="1" applyAlignment="1">
      <alignment horizontal="center" vertical="center"/>
    </xf>
    <xf numFmtId="0" fontId="73" fillId="0" borderId="18" xfId="0" applyFont="1" applyBorder="1" applyAlignment="1">
      <alignment horizontal="left" vertical="center"/>
    </xf>
    <xf numFmtId="0" fontId="73" fillId="0" borderId="30" xfId="0" applyFont="1" applyBorder="1" applyAlignment="1">
      <alignment horizontal="left" vertical="center"/>
    </xf>
    <xf numFmtId="0" fontId="73" fillId="0" borderId="19" xfId="0" applyFont="1" applyBorder="1" applyAlignment="1">
      <alignment horizontal="left" vertical="center"/>
    </xf>
    <xf numFmtId="0" fontId="116" fillId="0" borderId="15" xfId="125" applyFont="1" applyBorder="1" applyAlignment="1">
      <alignment horizontal="left" vertical="center"/>
    </xf>
    <xf numFmtId="0" fontId="116" fillId="0" borderId="23" xfId="125" applyFont="1" applyBorder="1" applyAlignment="1">
      <alignment vertical="center"/>
    </xf>
    <xf numFmtId="0" fontId="116" fillId="0" borderId="24" xfId="125" applyFont="1" applyBorder="1" applyAlignment="1">
      <alignment vertical="center"/>
    </xf>
    <xf numFmtId="0" fontId="73" fillId="0" borderId="24" xfId="0" applyFont="1" applyBorder="1" applyAlignment="1">
      <alignment horizontal="left" vertical="center"/>
    </xf>
    <xf numFmtId="0" fontId="73" fillId="0" borderId="25" xfId="0" applyFont="1" applyBorder="1" applyAlignment="1">
      <alignment horizontal="left" vertical="center"/>
    </xf>
    <xf numFmtId="0" fontId="58" fillId="0" borderId="14" xfId="0" applyFont="1" applyBorder="1" applyAlignment="1">
      <alignment horizontal="left" vertical="top" indent="1"/>
    </xf>
    <xf numFmtId="0" fontId="76" fillId="0" borderId="44" xfId="0" applyFont="1" applyBorder="1" applyAlignment="1">
      <alignment horizontal="center" vertical="center" wrapText="1"/>
    </xf>
    <xf numFmtId="0" fontId="58" fillId="0" borderId="18" xfId="0" applyFont="1" applyBorder="1" applyAlignment="1">
      <alignment horizontal="center" vertical="center" wrapText="1"/>
    </xf>
    <xf numFmtId="1" fontId="90" fillId="0" borderId="44" xfId="0" applyNumberFormat="1" applyFont="1" applyBorder="1" applyAlignment="1">
      <alignment horizontal="center" vertical="top" shrinkToFit="1"/>
    </xf>
    <xf numFmtId="1" fontId="90" fillId="0" borderId="5" xfId="0" applyNumberFormat="1" applyFont="1" applyBorder="1" applyAlignment="1">
      <alignment horizontal="center" vertical="top" shrinkToFit="1"/>
    </xf>
    <xf numFmtId="1" fontId="90" fillId="0" borderId="7" xfId="0" applyNumberFormat="1" applyFont="1" applyBorder="1" applyAlignment="1">
      <alignment horizontal="center" vertical="top" shrinkToFit="1"/>
    </xf>
    <xf numFmtId="1" fontId="90" fillId="0" borderId="74" xfId="0" applyNumberFormat="1" applyFont="1" applyBorder="1" applyAlignment="1">
      <alignment horizontal="center" vertical="top" shrinkToFit="1"/>
    </xf>
    <xf numFmtId="1" fontId="90" fillId="0" borderId="18" xfId="0" applyNumberFormat="1" applyFont="1" applyBorder="1" applyAlignment="1">
      <alignment horizontal="center" vertical="top" shrinkToFit="1"/>
    </xf>
    <xf numFmtId="1" fontId="90" fillId="0" borderId="79" xfId="0" applyNumberFormat="1" applyFont="1" applyBorder="1" applyAlignment="1">
      <alignment horizontal="center" vertical="top" shrinkToFit="1"/>
    </xf>
    <xf numFmtId="0" fontId="76" fillId="0" borderId="46" xfId="0" applyFont="1" applyBorder="1" applyAlignment="1">
      <alignment horizontal="left" wrapText="1"/>
    </xf>
    <xf numFmtId="0" fontId="90" fillId="0" borderId="21" xfId="0" applyFont="1" applyBorder="1" applyAlignment="1">
      <alignment horizontal="left" wrapText="1"/>
    </xf>
    <xf numFmtId="0" fontId="76" fillId="0" borderId="21" xfId="0" applyFont="1" applyBorder="1" applyAlignment="1">
      <alignment horizontal="center" vertical="center"/>
    </xf>
    <xf numFmtId="0" fontId="76" fillId="0" borderId="50" xfId="0" applyFont="1" applyBorder="1" applyAlignment="1">
      <alignment horizontal="center" vertical="center"/>
    </xf>
    <xf numFmtId="0" fontId="76" fillId="0" borderId="75" xfId="0" applyFont="1" applyBorder="1" applyAlignment="1">
      <alignment horizontal="left" wrapText="1"/>
    </xf>
    <xf numFmtId="0" fontId="90" fillId="0" borderId="18" xfId="0" applyFont="1" applyBorder="1" applyAlignment="1">
      <alignment horizontal="center" wrapText="1"/>
    </xf>
    <xf numFmtId="1" fontId="76" fillId="0" borderId="75" xfId="0" applyNumberFormat="1" applyFont="1" applyBorder="1" applyAlignment="1">
      <alignment horizontal="center" vertical="center" shrinkToFit="1"/>
    </xf>
    <xf numFmtId="0" fontId="56" fillId="0" borderId="18" xfId="0" applyFont="1" applyBorder="1" applyAlignment="1">
      <alignment horizontal="left" vertical="center" wrapText="1"/>
    </xf>
    <xf numFmtId="1" fontId="76" fillId="0" borderId="81" xfId="0" applyNumberFormat="1" applyFont="1" applyBorder="1" applyAlignment="1">
      <alignment horizontal="center" vertical="center" shrinkToFit="1"/>
    </xf>
    <xf numFmtId="1" fontId="76" fillId="0" borderId="68" xfId="0" applyNumberFormat="1" applyFont="1" applyBorder="1" applyAlignment="1">
      <alignment horizontal="center" vertical="center" shrinkToFit="1"/>
    </xf>
    <xf numFmtId="0" fontId="58" fillId="0" borderId="18" xfId="0" applyFont="1" applyBorder="1" applyAlignment="1">
      <alignment horizontal="left" vertical="center" wrapText="1"/>
    </xf>
    <xf numFmtId="2" fontId="76" fillId="0" borderId="18" xfId="0" applyNumberFormat="1" applyFont="1" applyBorder="1" applyAlignment="1">
      <alignment horizontal="center" vertical="top"/>
    </xf>
    <xf numFmtId="0" fontId="58" fillId="0" borderId="24" xfId="0" applyFont="1" applyBorder="1" applyAlignment="1">
      <alignment horizontal="left" vertical="top"/>
    </xf>
    <xf numFmtId="10" fontId="90" fillId="0" borderId="19" xfId="0" applyNumberFormat="1" applyFont="1" applyBorder="1" applyAlignment="1">
      <alignment horizontal="center" vertical="center"/>
    </xf>
    <xf numFmtId="10" fontId="76" fillId="0" borderId="19" xfId="124" applyNumberFormat="1" applyFont="1" applyBorder="1" applyAlignment="1">
      <alignment horizontal="center" vertical="center"/>
    </xf>
    <xf numFmtId="0" fontId="76" fillId="0" borderId="15" xfId="0" applyFont="1" applyBorder="1" applyAlignment="1">
      <alignment horizontal="center" vertical="center"/>
    </xf>
    <xf numFmtId="0" fontId="76" fillId="0" borderId="12" xfId="0" applyFont="1" applyBorder="1" applyAlignment="1">
      <alignment horizontal="center" vertical="center"/>
    </xf>
    <xf numFmtId="0" fontId="76" fillId="0" borderId="23" xfId="0" applyFont="1" applyBorder="1" applyAlignment="1">
      <alignment horizontal="center" vertical="center"/>
    </xf>
    <xf numFmtId="10" fontId="90" fillId="0" borderId="18" xfId="124" applyNumberFormat="1" applyFont="1" applyBorder="1" applyAlignment="1">
      <alignment horizontal="center" vertical="center" wrapText="1"/>
    </xf>
    <xf numFmtId="10" fontId="90" fillId="0" borderId="19" xfId="124" applyNumberFormat="1" applyFont="1" applyBorder="1" applyAlignment="1">
      <alignment horizontal="center" vertical="center" wrapText="1"/>
    </xf>
    <xf numFmtId="4" fontId="90" fillId="0" borderId="18" xfId="0" applyNumberFormat="1" applyFont="1" applyBorder="1" applyAlignment="1">
      <alignment horizontal="center" vertical="center" wrapText="1"/>
    </xf>
    <xf numFmtId="4" fontId="90" fillId="0" borderId="19" xfId="0" applyNumberFormat="1" applyFont="1" applyBorder="1" applyAlignment="1">
      <alignment horizontal="center" vertical="center" wrapText="1"/>
    </xf>
    <xf numFmtId="0" fontId="56" fillId="0" borderId="12" xfId="1" applyFont="1" applyBorder="1"/>
    <xf numFmtId="0" fontId="56" fillId="0" borderId="13" xfId="1" applyFont="1" applyBorder="1"/>
    <xf numFmtId="0" fontId="56" fillId="0" borderId="14" xfId="1" applyFont="1" applyBorder="1"/>
    <xf numFmtId="0" fontId="56" fillId="0" borderId="15" xfId="1" applyFont="1" applyBorder="1"/>
    <xf numFmtId="0" fontId="58" fillId="0" borderId="16" xfId="2" applyFont="1" applyBorder="1" applyAlignment="1">
      <alignment horizontal="center"/>
    </xf>
    <xf numFmtId="0" fontId="56" fillId="0" borderId="15" xfId="2" applyFont="1" applyBorder="1"/>
    <xf numFmtId="0" fontId="56" fillId="0" borderId="16" xfId="1" applyFont="1" applyBorder="1"/>
    <xf numFmtId="0" fontId="59" fillId="0" borderId="15" xfId="2" applyFont="1" applyBorder="1"/>
    <xf numFmtId="49" fontId="58" fillId="0" borderId="0" xfId="2" applyNumberFormat="1" applyFont="1" applyBorder="1" applyAlignment="1">
      <alignment horizontal="center" vertical="top" wrapText="1"/>
    </xf>
    <xf numFmtId="49" fontId="58" fillId="0" borderId="15" xfId="2" applyNumberFormat="1" applyFont="1" applyBorder="1" applyAlignment="1">
      <alignment horizontal="justify" vertical="top" wrapText="1"/>
    </xf>
    <xf numFmtId="0" fontId="58" fillId="0" borderId="0" xfId="2" applyFont="1" applyBorder="1" applyAlignment="1">
      <alignment vertical="top"/>
    </xf>
    <xf numFmtId="49" fontId="59" fillId="0" borderId="0" xfId="2" applyNumberFormat="1" applyFont="1" applyBorder="1" applyAlignment="1">
      <alignment horizontal="left" vertical="top"/>
    </xf>
    <xf numFmtId="0" fontId="58" fillId="0" borderId="19" xfId="1" applyFont="1" applyBorder="1" applyAlignment="1">
      <alignment horizontal="center" vertical="center"/>
    </xf>
    <xf numFmtId="0" fontId="56" fillId="0" borderId="17" xfId="2" applyFont="1" applyBorder="1"/>
    <xf numFmtId="2" fontId="56" fillId="0" borderId="19" xfId="2" applyNumberFormat="1" applyFont="1" applyBorder="1" applyAlignment="1">
      <alignment horizontal="center" vertical="center"/>
    </xf>
    <xf numFmtId="10" fontId="56" fillId="0" borderId="19" xfId="3" applyNumberFormat="1" applyFont="1" applyBorder="1" applyAlignment="1">
      <alignment horizontal="center" vertical="center"/>
    </xf>
    <xf numFmtId="2" fontId="58" fillId="0" borderId="19" xfId="2" applyNumberFormat="1" applyFont="1" applyBorder="1" applyAlignment="1">
      <alignment horizontal="center" vertical="center"/>
    </xf>
    <xf numFmtId="166" fontId="58" fillId="0" borderId="19" xfId="2" applyNumberFormat="1" applyFont="1" applyBorder="1" applyAlignment="1">
      <alignment horizontal="center" vertical="center"/>
    </xf>
    <xf numFmtId="166" fontId="58" fillId="0" borderId="19" xfId="1" applyNumberFormat="1" applyFont="1" applyBorder="1" applyAlignment="1">
      <alignment horizontal="center" vertical="center"/>
    </xf>
    <xf numFmtId="0" fontId="56" fillId="0" borderId="17" xfId="2" applyFont="1" applyBorder="1" applyAlignment="1">
      <alignment horizontal="left" vertical="center"/>
    </xf>
    <xf numFmtId="0" fontId="56" fillId="0" borderId="15" xfId="2" applyFont="1" applyBorder="1" applyAlignment="1">
      <alignment horizontal="left" vertical="center"/>
    </xf>
    <xf numFmtId="2" fontId="56" fillId="0" borderId="16" xfId="1" applyNumberFormat="1" applyFont="1" applyBorder="1" applyAlignment="1">
      <alignment horizontal="center" vertical="center"/>
    </xf>
    <xf numFmtId="43" fontId="56" fillId="0" borderId="0" xfId="4" applyFont="1" applyBorder="1"/>
    <xf numFmtId="2" fontId="60" fillId="0" borderId="0" xfId="1" applyNumberFormat="1" applyFont="1" applyBorder="1"/>
    <xf numFmtId="2" fontId="61" fillId="0" borderId="0" xfId="1" applyNumberFormat="1" applyFont="1" applyBorder="1"/>
    <xf numFmtId="2" fontId="56" fillId="0" borderId="0" xfId="1" applyNumberFormat="1" applyFont="1" applyBorder="1"/>
    <xf numFmtId="0" fontId="61" fillId="0" borderId="0" xfId="1" applyFont="1" applyBorder="1"/>
    <xf numFmtId="171" fontId="56" fillId="0" borderId="0" xfId="1" applyNumberFormat="1" applyFont="1" applyBorder="1"/>
    <xf numFmtId="172" fontId="56" fillId="0" borderId="0" xfId="1" applyNumberFormat="1" applyFont="1" applyBorder="1"/>
    <xf numFmtId="173" fontId="56" fillId="0" borderId="0" xfId="1" applyNumberFormat="1" applyFont="1" applyBorder="1"/>
    <xf numFmtId="0" fontId="56" fillId="0" borderId="23" xfId="1" applyFont="1" applyBorder="1"/>
    <xf numFmtId="0" fontId="56" fillId="0" borderId="24" xfId="1" applyFont="1" applyBorder="1"/>
    <xf numFmtId="0" fontId="58" fillId="0" borderId="25" xfId="1" applyFont="1" applyBorder="1" applyAlignment="1">
      <alignment horizontal="center" vertical="center"/>
    </xf>
    <xf numFmtId="0" fontId="76" fillId="0" borderId="0" xfId="133" applyFont="1" applyBorder="1" applyAlignment="1">
      <alignment horizontal="left" vertical="center"/>
    </xf>
    <xf numFmtId="0" fontId="113" fillId="0" borderId="0" xfId="133" applyFont="1" applyBorder="1" applyAlignment="1">
      <alignment horizontal="left" vertical="center"/>
    </xf>
    <xf numFmtId="0" fontId="95" fillId="0" borderId="12" xfId="133" applyFont="1" applyBorder="1" applyAlignment="1">
      <alignment horizontal="center" vertical="center"/>
    </xf>
    <xf numFmtId="0" fontId="153" fillId="0" borderId="18" xfId="138" applyFont="1" applyFill="1" applyBorder="1" applyAlignment="1">
      <alignment horizontal="center" vertical="center" wrapText="1"/>
    </xf>
    <xf numFmtId="165" fontId="154" fillId="0" borderId="18" xfId="139" applyNumberFormat="1" applyFont="1" applyFill="1" applyBorder="1" applyAlignment="1">
      <alignment horizontal="center" vertical="center" wrapText="1"/>
    </xf>
    <xf numFmtId="2" fontId="153" fillId="0" borderId="18" xfId="138" applyNumberFormat="1" applyFont="1" applyFill="1" applyBorder="1" applyAlignment="1">
      <alignment horizontal="center" vertical="center"/>
    </xf>
    <xf numFmtId="0" fontId="56" fillId="0" borderId="18" xfId="138" applyFont="1" applyFill="1" applyBorder="1" applyAlignment="1">
      <alignment horizontal="center" vertical="center"/>
    </xf>
    <xf numFmtId="0" fontId="153" fillId="0" borderId="17" xfId="138" applyFont="1" applyFill="1" applyBorder="1" applyAlignment="1">
      <alignment horizontal="center" vertical="center" wrapText="1"/>
    </xf>
    <xf numFmtId="1" fontId="152" fillId="0" borderId="44" xfId="0" applyNumberFormat="1" applyFont="1" applyFill="1" applyBorder="1" applyAlignment="1">
      <alignment horizontal="center" vertical="center" shrinkToFit="1"/>
    </xf>
    <xf numFmtId="1" fontId="152" fillId="0" borderId="1" xfId="0" applyNumberFormat="1" applyFont="1" applyFill="1" applyBorder="1" applyAlignment="1">
      <alignment horizontal="center" vertical="center" shrinkToFit="1"/>
    </xf>
    <xf numFmtId="1" fontId="152" fillId="0" borderId="7" xfId="0" applyNumberFormat="1" applyFont="1" applyFill="1" applyBorder="1" applyAlignment="1">
      <alignment horizontal="center" vertical="center" shrinkToFit="1"/>
    </xf>
    <xf numFmtId="0" fontId="150" fillId="0" borderId="7" xfId="0" applyFont="1" applyFill="1" applyBorder="1" applyAlignment="1">
      <alignment horizontal="center" vertical="center" wrapText="1"/>
    </xf>
    <xf numFmtId="1" fontId="152" fillId="0" borderId="86" xfId="0" applyNumberFormat="1" applyFont="1" applyFill="1" applyBorder="1" applyAlignment="1">
      <alignment horizontal="center" vertical="center" shrinkToFit="1"/>
    </xf>
    <xf numFmtId="0" fontId="151" fillId="0" borderId="1" xfId="0" applyFont="1" applyFill="1" applyBorder="1" applyAlignment="1">
      <alignment horizontal="center" vertical="center" wrapText="1"/>
    </xf>
    <xf numFmtId="0" fontId="150" fillId="0" borderId="1" xfId="0" applyFont="1" applyFill="1" applyBorder="1" applyAlignment="1">
      <alignment horizontal="center" vertical="center" wrapText="1"/>
    </xf>
    <xf numFmtId="1" fontId="152" fillId="0" borderId="71" xfId="0" applyNumberFormat="1" applyFont="1" applyFill="1" applyBorder="1" applyAlignment="1">
      <alignment horizontal="center" vertical="center" shrinkToFit="1"/>
    </xf>
    <xf numFmtId="165" fontId="155" fillId="0" borderId="18" xfId="139" applyNumberFormat="1" applyFont="1" applyFill="1" applyBorder="1" applyAlignment="1">
      <alignment vertical="center" wrapText="1"/>
    </xf>
    <xf numFmtId="0" fontId="90" fillId="0" borderId="15" xfId="133" applyFont="1" applyBorder="1" applyAlignment="1">
      <alignment horizontal="center" vertical="center"/>
    </xf>
    <xf numFmtId="0" fontId="95" fillId="0" borderId="13" xfId="133" applyFont="1" applyBorder="1" applyAlignment="1">
      <alignment horizontal="center" vertical="center"/>
    </xf>
    <xf numFmtId="0" fontId="76" fillId="0" borderId="14" xfId="0" applyFont="1" applyBorder="1" applyAlignment="1">
      <alignment horizontal="left" vertical="center"/>
    </xf>
    <xf numFmtId="0" fontId="76" fillId="0" borderId="19" xfId="133" applyFont="1" applyBorder="1" applyAlignment="1">
      <alignment horizontal="center" vertical="center"/>
    </xf>
    <xf numFmtId="0" fontId="56" fillId="0" borderId="0" xfId="133" applyFont="1" applyBorder="1" applyAlignment="1">
      <alignment horizontal="left" vertical="top"/>
    </xf>
    <xf numFmtId="0" fontId="90" fillId="0" borderId="17" xfId="133" applyFont="1" applyBorder="1" applyAlignment="1">
      <alignment horizontal="left" vertical="top"/>
    </xf>
    <xf numFmtId="2" fontId="90" fillId="0" borderId="19" xfId="133" applyNumberFormat="1" applyFont="1" applyBorder="1" applyAlignment="1">
      <alignment horizontal="center" vertical="center"/>
    </xf>
    <xf numFmtId="0" fontId="56" fillId="0" borderId="16" xfId="133" applyFont="1" applyBorder="1" applyAlignment="1">
      <alignment horizontal="left" vertical="top"/>
    </xf>
    <xf numFmtId="0" fontId="90" fillId="0" borderId="0" xfId="0" applyFont="1" applyFill="1" applyBorder="1" applyAlignment="1">
      <alignment horizontal="center" vertical="center"/>
    </xf>
    <xf numFmtId="0" fontId="90" fillId="0" borderId="16" xfId="0" applyFont="1" applyFill="1" applyBorder="1" applyAlignment="1">
      <alignment horizontal="center" vertical="center"/>
    </xf>
    <xf numFmtId="0" fontId="90" fillId="0" borderId="24" xfId="0" applyFont="1" applyFill="1" applyBorder="1" applyAlignment="1">
      <alignment horizontal="center" vertical="center"/>
    </xf>
    <xf numFmtId="0" fontId="90" fillId="0" borderId="25" xfId="0" applyFont="1" applyFill="1" applyBorder="1" applyAlignment="1">
      <alignment horizontal="center" vertical="center"/>
    </xf>
    <xf numFmtId="0" fontId="154" fillId="0" borderId="0" xfId="0" applyFont="1" applyFill="1" applyBorder="1" applyAlignment="1">
      <alignment horizontal="left" vertical="top"/>
    </xf>
    <xf numFmtId="0" fontId="154" fillId="0" borderId="16" xfId="0" applyFont="1" applyFill="1" applyBorder="1" applyAlignment="1">
      <alignment horizontal="left" vertical="top"/>
    </xf>
    <xf numFmtId="0" fontId="154" fillId="0" borderId="15" xfId="0" applyFont="1" applyFill="1" applyBorder="1" applyAlignment="1">
      <alignment horizontal="left" vertical="top"/>
    </xf>
    <xf numFmtId="0" fontId="90" fillId="0" borderId="0" xfId="0" applyFont="1" applyFill="1" applyBorder="1" applyAlignment="1">
      <alignment horizontal="center" vertical="center"/>
    </xf>
    <xf numFmtId="0" fontId="90" fillId="0" borderId="16" xfId="0" applyFont="1" applyFill="1" applyBorder="1" applyAlignment="1">
      <alignment horizontal="center" vertical="center"/>
    </xf>
    <xf numFmtId="0" fontId="90" fillId="0" borderId="24" xfId="0" applyFont="1" applyFill="1" applyBorder="1" applyAlignment="1">
      <alignment horizontal="center" vertical="center"/>
    </xf>
    <xf numFmtId="0" fontId="90" fillId="0" borderId="25" xfId="0" applyFont="1" applyFill="1" applyBorder="1" applyAlignment="1">
      <alignment horizontal="center" vertical="center"/>
    </xf>
    <xf numFmtId="2" fontId="137" fillId="0" borderId="18" xfId="121" applyNumberFormat="1" applyFont="1" applyBorder="1" applyAlignment="1">
      <alignment horizontal="center" vertical="center" wrapText="1"/>
    </xf>
    <xf numFmtId="2" fontId="137" fillId="0" borderId="0" xfId="121" applyNumberFormat="1" applyFont="1" applyAlignment="1">
      <alignment horizontal="center" vertical="center" wrapText="1"/>
    </xf>
    <xf numFmtId="169" fontId="58" fillId="0" borderId="19" xfId="2" applyNumberFormat="1" applyFont="1" applyBorder="1" applyAlignment="1">
      <alignment horizontal="center" vertical="center"/>
    </xf>
    <xf numFmtId="0" fontId="16" fillId="0" borderId="64" xfId="121" applyBorder="1" applyAlignment="1">
      <alignment wrapText="1"/>
    </xf>
    <xf numFmtId="0" fontId="16" fillId="0" borderId="63" xfId="121" applyBorder="1" applyAlignment="1">
      <alignment wrapText="1"/>
    </xf>
    <xf numFmtId="0" fontId="16" fillId="0" borderId="65" xfId="121" applyBorder="1" applyAlignment="1">
      <alignment wrapText="1"/>
    </xf>
    <xf numFmtId="0" fontId="101" fillId="0" borderId="0" xfId="0" applyFont="1" applyFill="1" applyBorder="1" applyAlignment="1">
      <alignment horizontal="center" vertical="center"/>
    </xf>
    <xf numFmtId="0" fontId="101" fillId="0" borderId="0" xfId="0" applyFont="1" applyFill="1" applyBorder="1" applyAlignment="1">
      <alignment horizontal="left" vertical="center"/>
    </xf>
    <xf numFmtId="0" fontId="101" fillId="0" borderId="0" xfId="0" applyFont="1" applyFill="1" applyBorder="1" applyAlignment="1">
      <alignment horizontal="left" vertical="center" wrapText="1"/>
    </xf>
    <xf numFmtId="0" fontId="83" fillId="7" borderId="18" xfId="0" applyFont="1" applyFill="1" applyBorder="1" applyAlignment="1">
      <alignment horizontal="center" vertical="center"/>
    </xf>
    <xf numFmtId="0" fontId="101" fillId="0" borderId="18" xfId="0" applyFont="1" applyFill="1" applyBorder="1" applyAlignment="1">
      <alignment horizontal="center" vertical="center"/>
    </xf>
    <xf numFmtId="0" fontId="83" fillId="0" borderId="18" xfId="0" applyFont="1" applyFill="1" applyBorder="1" applyAlignment="1">
      <alignment horizontal="center" vertical="center"/>
    </xf>
    <xf numFmtId="0" fontId="83" fillId="0" borderId="18" xfId="0" applyFont="1" applyFill="1" applyBorder="1" applyAlignment="1">
      <alignment horizontal="left" vertical="center" wrapText="1"/>
    </xf>
    <xf numFmtId="0" fontId="164" fillId="0" borderId="18" xfId="0" applyFont="1" applyFill="1" applyBorder="1" applyAlignment="1">
      <alignment horizontal="center" vertical="center"/>
    </xf>
    <xf numFmtId="0" fontId="164" fillId="0" borderId="18" xfId="0" applyFont="1" applyFill="1" applyBorder="1" applyAlignment="1">
      <alignment horizontal="left" vertical="center" wrapText="1"/>
    </xf>
    <xf numFmtId="43" fontId="165" fillId="0" borderId="18" xfId="122" applyFont="1" applyFill="1" applyBorder="1" applyAlignment="1">
      <alignment horizontal="right" vertical="center"/>
    </xf>
    <xf numFmtId="0" fontId="165" fillId="0" borderId="18" xfId="0" applyFont="1" applyFill="1" applyBorder="1" applyAlignment="1">
      <alignment horizontal="center" vertical="center"/>
    </xf>
    <xf numFmtId="175" fontId="165" fillId="0" borderId="18" xfId="122" applyNumberFormat="1" applyFont="1" applyFill="1" applyBorder="1" applyAlignment="1">
      <alignment horizontal="right" vertical="center"/>
    </xf>
    <xf numFmtId="175" fontId="165" fillId="0" borderId="18" xfId="122" applyNumberFormat="1" applyFont="1" applyFill="1" applyBorder="1" applyAlignment="1">
      <alignment horizontal="center" vertical="center"/>
    </xf>
    <xf numFmtId="0" fontId="164" fillId="0" borderId="18" xfId="0" applyFont="1" applyFill="1" applyBorder="1" applyAlignment="1">
      <alignment vertical="center"/>
    </xf>
    <xf numFmtId="0" fontId="101" fillId="0" borderId="18" xfId="0" applyFont="1" applyFill="1" applyBorder="1" applyAlignment="1">
      <alignment horizontal="left" vertical="center" wrapText="1"/>
    </xf>
    <xf numFmtId="43" fontId="101" fillId="0" borderId="18" xfId="122" applyFont="1" applyFill="1" applyBorder="1" applyAlignment="1">
      <alignment horizontal="right" vertical="center"/>
    </xf>
    <xf numFmtId="0" fontId="101" fillId="0" borderId="18" xfId="0" applyFont="1" applyFill="1" applyBorder="1" applyAlignment="1">
      <alignment vertical="center"/>
    </xf>
    <xf numFmtId="175" fontId="101" fillId="0" borderId="18" xfId="122" applyNumberFormat="1" applyFont="1" applyFill="1" applyBorder="1" applyAlignment="1">
      <alignment horizontal="right" vertical="center"/>
    </xf>
    <xf numFmtId="175" fontId="101" fillId="0" borderId="18" xfId="122" applyNumberFormat="1" applyFont="1" applyFill="1" applyBorder="1" applyAlignment="1">
      <alignment horizontal="center" vertical="center"/>
    </xf>
    <xf numFmtId="175" fontId="83" fillId="0" borderId="18" xfId="122" applyNumberFormat="1" applyFont="1" applyFill="1" applyBorder="1" applyAlignment="1">
      <alignment horizontal="right" vertical="center"/>
    </xf>
    <xf numFmtId="175" fontId="83" fillId="0" borderId="18" xfId="122" applyNumberFormat="1" applyFont="1" applyFill="1" applyBorder="1" applyAlignment="1">
      <alignment horizontal="center" vertical="center"/>
    </xf>
    <xf numFmtId="0" fontId="101" fillId="0" borderId="18" xfId="0" applyFont="1" applyFill="1" applyBorder="1" applyAlignment="1">
      <alignment horizontal="center" vertical="center" wrapText="1"/>
    </xf>
    <xf numFmtId="43" fontId="83" fillId="0" borderId="18" xfId="0" applyNumberFormat="1" applyFont="1" applyFill="1" applyBorder="1" applyAlignment="1">
      <alignment horizontal="right" vertical="center"/>
    </xf>
    <xf numFmtId="2" fontId="101" fillId="0" borderId="18" xfId="0" applyNumberFormat="1" applyFont="1" applyFill="1" applyBorder="1" applyAlignment="1">
      <alignment horizontal="center" vertical="center"/>
    </xf>
    <xf numFmtId="0" fontId="101" fillId="0" borderId="13" xfId="0" applyFont="1" applyFill="1" applyBorder="1" applyAlignment="1">
      <alignment horizontal="center" vertical="center"/>
    </xf>
    <xf numFmtId="0" fontId="58" fillId="0" borderId="13" xfId="0" applyFont="1" applyBorder="1" applyAlignment="1">
      <alignment horizontal="left" vertical="top" indent="1"/>
    </xf>
    <xf numFmtId="0" fontId="101" fillId="0" borderId="14" xfId="0" applyFont="1" applyFill="1" applyBorder="1" applyAlignment="1">
      <alignment horizontal="center" vertical="center"/>
    </xf>
    <xf numFmtId="0" fontId="101" fillId="0" borderId="15" xfId="0" applyFont="1" applyFill="1" applyBorder="1" applyAlignment="1">
      <alignment horizontal="left" vertical="center"/>
    </xf>
    <xf numFmtId="0" fontId="101" fillId="0" borderId="16" xfId="0" applyFont="1" applyFill="1" applyBorder="1" applyAlignment="1">
      <alignment horizontal="center" vertical="center"/>
    </xf>
    <xf numFmtId="0" fontId="83" fillId="7" borderId="19" xfId="0" applyFont="1" applyFill="1" applyBorder="1" applyAlignment="1">
      <alignment horizontal="center" vertical="center"/>
    </xf>
    <xf numFmtId="0" fontId="101" fillId="0" borderId="19" xfId="0" applyFont="1" applyFill="1" applyBorder="1" applyAlignment="1">
      <alignment horizontal="center" vertical="center"/>
    </xf>
    <xf numFmtId="0" fontId="83" fillId="0" borderId="17" xfId="0" applyFont="1" applyFill="1" applyBorder="1" applyAlignment="1">
      <alignment horizontal="center" vertical="center"/>
    </xf>
    <xf numFmtId="0" fontId="83" fillId="0" borderId="19" xfId="0" applyFont="1" applyFill="1" applyBorder="1" applyAlignment="1">
      <alignment horizontal="center" vertical="center"/>
    </xf>
    <xf numFmtId="0" fontId="164" fillId="0" borderId="17" xfId="0" applyFont="1" applyFill="1" applyBorder="1" applyAlignment="1">
      <alignment horizontal="center" vertical="center"/>
    </xf>
    <xf numFmtId="0" fontId="165" fillId="0" borderId="19" xfId="0" applyFont="1" applyFill="1" applyBorder="1" applyAlignment="1">
      <alignment horizontal="center" vertical="center"/>
    </xf>
    <xf numFmtId="175" fontId="165" fillId="0" borderId="19" xfId="122" applyNumberFormat="1" applyFont="1" applyFill="1" applyBorder="1" applyAlignment="1">
      <alignment horizontal="center" vertical="center"/>
    </xf>
    <xf numFmtId="0" fontId="164" fillId="0" borderId="19" xfId="0" applyFont="1" applyFill="1" applyBorder="1" applyAlignment="1">
      <alignment vertical="center"/>
    </xf>
    <xf numFmtId="0" fontId="101" fillId="0" borderId="17" xfId="0" applyFont="1" applyFill="1" applyBorder="1" applyAlignment="1">
      <alignment horizontal="center" vertical="center"/>
    </xf>
    <xf numFmtId="0" fontId="101" fillId="0" borderId="19" xfId="0" applyFont="1" applyFill="1" applyBorder="1" applyAlignment="1">
      <alignment vertical="center"/>
    </xf>
    <xf numFmtId="175" fontId="101" fillId="0" borderId="19" xfId="122" applyNumberFormat="1" applyFont="1" applyFill="1" applyBorder="1" applyAlignment="1">
      <alignment horizontal="center" vertical="center"/>
    </xf>
    <xf numFmtId="175" fontId="83" fillId="0" borderId="19" xfId="122" applyNumberFormat="1" applyFont="1" applyFill="1" applyBorder="1" applyAlignment="1">
      <alignment horizontal="center" vertical="center"/>
    </xf>
    <xf numFmtId="2" fontId="101" fillId="0" borderId="19" xfId="0" applyNumberFormat="1" applyFont="1" applyFill="1" applyBorder="1" applyAlignment="1">
      <alignment horizontal="center" vertical="center"/>
    </xf>
    <xf numFmtId="0" fontId="101" fillId="0" borderId="15" xfId="0" applyFont="1" applyFill="1" applyBorder="1" applyAlignment="1">
      <alignment horizontal="center" vertical="center"/>
    </xf>
    <xf numFmtId="0" fontId="101" fillId="0" borderId="0" xfId="0" applyFont="1" applyFill="1" applyBorder="1" applyAlignment="1">
      <alignment horizontal="center" vertical="center" wrapText="1"/>
    </xf>
    <xf numFmtId="3" fontId="101" fillId="0" borderId="0" xfId="0" applyNumberFormat="1" applyFont="1" applyFill="1" applyBorder="1" applyAlignment="1">
      <alignment horizontal="center" vertical="center"/>
    </xf>
    <xf numFmtId="0" fontId="101" fillId="0" borderId="23" xfId="0" applyFont="1" applyFill="1" applyBorder="1" applyAlignment="1">
      <alignment horizontal="center" vertical="center"/>
    </xf>
    <xf numFmtId="0" fontId="101" fillId="0" borderId="24" xfId="0" applyFont="1" applyFill="1" applyBorder="1" applyAlignment="1">
      <alignment horizontal="center" vertical="center" wrapText="1"/>
    </xf>
    <xf numFmtId="0" fontId="101" fillId="0" borderId="24" xfId="0" applyFont="1" applyFill="1" applyBorder="1" applyAlignment="1">
      <alignment horizontal="center" vertical="center"/>
    </xf>
    <xf numFmtId="0" fontId="83" fillId="0" borderId="12" xfId="0" applyFont="1" applyFill="1" applyBorder="1" applyAlignment="1">
      <alignment vertical="center"/>
    </xf>
    <xf numFmtId="0" fontId="83" fillId="0" borderId="13" xfId="0" applyFont="1" applyFill="1" applyBorder="1" applyAlignment="1">
      <alignment vertical="center"/>
    </xf>
    <xf numFmtId="0" fontId="101" fillId="0" borderId="15" xfId="0" applyFont="1" applyFill="1" applyBorder="1" applyAlignment="1">
      <alignment vertical="center"/>
    </xf>
    <xf numFmtId="0" fontId="101" fillId="0" borderId="0" xfId="0" applyFont="1" applyFill="1" applyBorder="1" applyAlignment="1">
      <alignment vertical="center"/>
    </xf>
    <xf numFmtId="0" fontId="83" fillId="0" borderId="0" xfId="0" applyFont="1" applyFill="1" applyBorder="1" applyAlignment="1">
      <alignment vertical="center" wrapText="1"/>
    </xf>
    <xf numFmtId="0" fontId="101" fillId="0" borderId="75" xfId="0" applyFont="1" applyFill="1" applyBorder="1" applyAlignment="1">
      <alignment vertical="center"/>
    </xf>
    <xf numFmtId="0" fontId="101" fillId="0" borderId="38" xfId="0" applyFont="1" applyFill="1" applyBorder="1" applyAlignment="1">
      <alignment vertical="center"/>
    </xf>
    <xf numFmtId="0" fontId="101" fillId="0" borderId="31" xfId="0" applyFont="1" applyFill="1" applyBorder="1" applyAlignment="1">
      <alignment vertical="center"/>
    </xf>
    <xf numFmtId="183" fontId="101" fillId="7" borderId="18" xfId="122" applyNumberFormat="1" applyFont="1" applyFill="1" applyBorder="1" applyAlignment="1">
      <alignment horizontal="center"/>
    </xf>
    <xf numFmtId="183" fontId="101" fillId="7" borderId="18" xfId="122" applyNumberFormat="1" applyFont="1" applyFill="1" applyBorder="1" applyAlignment="1">
      <alignment horizontal="center" vertical="center"/>
    </xf>
    <xf numFmtId="183" fontId="101" fillId="7" borderId="19" xfId="122" applyNumberFormat="1" applyFont="1" applyFill="1" applyBorder="1" applyAlignment="1">
      <alignment horizontal="center" vertical="center"/>
    </xf>
    <xf numFmtId="182" fontId="164" fillId="7" borderId="18" xfId="122" applyNumberFormat="1" applyFont="1" applyFill="1" applyBorder="1" applyAlignment="1">
      <alignment horizontal="center" vertical="center"/>
    </xf>
    <xf numFmtId="182" fontId="101" fillId="7" borderId="18" xfId="122" applyNumberFormat="1" applyFont="1" applyFill="1" applyBorder="1" applyAlignment="1">
      <alignment horizontal="center" vertical="center"/>
    </xf>
    <xf numFmtId="182" fontId="101" fillId="7" borderId="19" xfId="122" applyNumberFormat="1" applyFont="1" applyFill="1" applyBorder="1" applyAlignment="1">
      <alignment horizontal="center" vertical="center"/>
    </xf>
    <xf numFmtId="0" fontId="101" fillId="0" borderId="39" xfId="0" applyFont="1" applyFill="1" applyBorder="1" applyAlignment="1">
      <alignment vertical="center"/>
    </xf>
    <xf numFmtId="0" fontId="101" fillId="7" borderId="18" xfId="0" applyFont="1" applyFill="1" applyBorder="1" applyAlignment="1">
      <alignment horizontal="center" vertical="center"/>
    </xf>
    <xf numFmtId="0" fontId="101" fillId="7" borderId="19" xfId="0" applyFont="1" applyFill="1" applyBorder="1" applyAlignment="1">
      <alignment horizontal="center" vertical="center"/>
    </xf>
    <xf numFmtId="1" fontId="101" fillId="7" borderId="18" xfId="0" applyNumberFormat="1" applyFont="1" applyFill="1" applyBorder="1" applyAlignment="1">
      <alignment horizontal="center" vertical="center"/>
    </xf>
    <xf numFmtId="2" fontId="101" fillId="7" borderId="18" xfId="0" applyNumberFormat="1" applyFont="1" applyFill="1" applyBorder="1" applyAlignment="1">
      <alignment horizontal="center" vertical="center"/>
    </xf>
    <xf numFmtId="43" fontId="101" fillId="7" borderId="18" xfId="122" applyFont="1" applyFill="1" applyBorder="1" applyAlignment="1">
      <alignment horizontal="center" vertical="center"/>
    </xf>
    <xf numFmtId="170" fontId="101" fillId="7" borderId="18" xfId="0" applyNumberFormat="1" applyFont="1" applyFill="1" applyBorder="1" applyAlignment="1">
      <alignment horizontal="center" vertical="center"/>
    </xf>
    <xf numFmtId="2" fontId="101" fillId="7" borderId="19" xfId="0" applyNumberFormat="1" applyFont="1" applyFill="1" applyBorder="1" applyAlignment="1">
      <alignment horizontal="center" vertical="center"/>
    </xf>
    <xf numFmtId="1" fontId="101" fillId="7" borderId="19" xfId="0" applyNumberFormat="1" applyFont="1" applyFill="1" applyBorder="1" applyAlignment="1">
      <alignment horizontal="center" vertical="center"/>
    </xf>
    <xf numFmtId="1" fontId="101" fillId="0" borderId="18" xfId="0" applyNumberFormat="1" applyFont="1" applyFill="1" applyBorder="1" applyAlignment="1">
      <alignment horizontal="center" vertical="center"/>
    </xf>
    <xf numFmtId="1" fontId="101" fillId="0" borderId="19" xfId="0" applyNumberFormat="1" applyFont="1" applyFill="1" applyBorder="1" applyAlignment="1">
      <alignment horizontal="center" vertical="center"/>
    </xf>
    <xf numFmtId="0" fontId="101" fillId="7" borderId="0" xfId="0" applyFont="1" applyFill="1" applyBorder="1" applyAlignment="1">
      <alignment horizontal="center" vertical="center"/>
    </xf>
    <xf numFmtId="166" fontId="101" fillId="7" borderId="18" xfId="0" applyNumberFormat="1" applyFont="1" applyFill="1" applyBorder="1" applyAlignment="1">
      <alignment horizontal="center" vertical="center"/>
    </xf>
    <xf numFmtId="166" fontId="101" fillId="7" borderId="19" xfId="0" applyNumberFormat="1" applyFont="1" applyFill="1" applyBorder="1" applyAlignment="1">
      <alignment horizontal="center" vertical="center"/>
    </xf>
    <xf numFmtId="0" fontId="164" fillId="7" borderId="18" xfId="0" applyFont="1" applyFill="1" applyBorder="1" applyAlignment="1">
      <alignment horizontal="center" vertical="center"/>
    </xf>
    <xf numFmtId="0" fontId="164" fillId="7" borderId="19" xfId="0" applyFont="1" applyFill="1" applyBorder="1" applyAlignment="1">
      <alignment horizontal="center" vertical="center"/>
    </xf>
    <xf numFmtId="0" fontId="101" fillId="7" borderId="16" xfId="0" applyFont="1" applyFill="1" applyBorder="1" applyAlignment="1">
      <alignment horizontal="center" vertical="center"/>
    </xf>
    <xf numFmtId="43" fontId="164" fillId="7" borderId="18" xfId="122" applyNumberFormat="1" applyFont="1" applyFill="1" applyBorder="1" applyAlignment="1">
      <alignment horizontal="left" vertical="center"/>
    </xf>
    <xf numFmtId="183" fontId="164" fillId="7" borderId="18" xfId="122" applyNumberFormat="1" applyFont="1" applyFill="1" applyBorder="1" applyAlignment="1">
      <alignment horizontal="left" vertical="center"/>
    </xf>
    <xf numFmtId="183" fontId="164" fillId="7" borderId="19" xfId="122" applyNumberFormat="1" applyFont="1" applyFill="1" applyBorder="1" applyAlignment="1">
      <alignment horizontal="left" vertical="center"/>
    </xf>
    <xf numFmtId="0" fontId="164" fillId="0" borderId="0" xfId="0" applyFont="1" applyFill="1" applyBorder="1" applyAlignment="1">
      <alignment horizontal="left" vertical="center" wrapText="1"/>
    </xf>
    <xf numFmtId="0" fontId="166" fillId="7" borderId="0" xfId="0" applyFont="1" applyFill="1" applyBorder="1" applyAlignment="1">
      <alignment horizontal="center" vertical="center"/>
    </xf>
    <xf numFmtId="0" fontId="166" fillId="7" borderId="16" xfId="0" applyFont="1" applyFill="1" applyBorder="1" applyAlignment="1">
      <alignment horizontal="center" vertical="center"/>
    </xf>
    <xf numFmtId="0" fontId="83" fillId="0" borderId="18" xfId="0" applyFont="1" applyFill="1" applyBorder="1" applyAlignment="1">
      <alignment horizontal="center" vertical="center" wrapText="1"/>
    </xf>
    <xf numFmtId="183" fontId="101" fillId="7" borderId="18" xfId="0" applyNumberFormat="1" applyFont="1" applyFill="1" applyBorder="1" applyAlignment="1">
      <alignment horizontal="center" vertical="center"/>
    </xf>
    <xf numFmtId="165" fontId="101" fillId="0" borderId="0" xfId="0" applyNumberFormat="1" applyFont="1" applyFill="1" applyBorder="1" applyAlignment="1">
      <alignment horizontal="center" vertical="center"/>
    </xf>
    <xf numFmtId="165" fontId="101" fillId="0" borderId="24" xfId="0" applyNumberFormat="1" applyFont="1" applyFill="1" applyBorder="1" applyAlignment="1">
      <alignment horizontal="center" vertical="center"/>
    </xf>
    <xf numFmtId="0" fontId="76" fillId="0" borderId="0" xfId="133" applyFont="1" applyBorder="1" applyAlignment="1">
      <alignment horizontal="left" vertical="top"/>
    </xf>
    <xf numFmtId="0" fontId="90" fillId="0" borderId="30" xfId="0" applyFont="1" applyBorder="1" applyAlignment="1">
      <alignment horizontal="center" vertical="center" wrapText="1"/>
    </xf>
    <xf numFmtId="1" fontId="131" fillId="0" borderId="17" xfId="0" applyNumberFormat="1" applyFont="1" applyBorder="1" applyAlignment="1">
      <alignment horizontal="center" vertical="center" shrinkToFit="1"/>
    </xf>
    <xf numFmtId="0" fontId="90" fillId="0" borderId="17" xfId="0" applyFont="1" applyBorder="1" applyAlignment="1">
      <alignment horizontal="center" vertical="center" wrapText="1"/>
    </xf>
    <xf numFmtId="0" fontId="90" fillId="0" borderId="18" xfId="0" applyFont="1" applyBorder="1" applyAlignment="1">
      <alignment horizontal="center" vertical="center" wrapText="1"/>
    </xf>
    <xf numFmtId="0" fontId="76" fillId="0" borderId="37" xfId="0" applyFont="1" applyBorder="1" applyAlignment="1">
      <alignment horizontal="center" vertical="center" wrapText="1"/>
    </xf>
    <xf numFmtId="2" fontId="76" fillId="0" borderId="30" xfId="0" applyNumberFormat="1" applyFont="1" applyBorder="1" applyAlignment="1">
      <alignment horizontal="center" vertical="center" wrapText="1"/>
    </xf>
    <xf numFmtId="2" fontId="76" fillId="0" borderId="37" xfId="0" applyNumberFormat="1" applyFont="1" applyBorder="1" applyAlignment="1">
      <alignment horizontal="center" vertical="center" wrapText="1"/>
    </xf>
    <xf numFmtId="2" fontId="90" fillId="0" borderId="30" xfId="0" applyNumberFormat="1" applyFont="1" applyBorder="1" applyAlignment="1">
      <alignment horizontal="center" vertical="center" wrapText="1"/>
    </xf>
    <xf numFmtId="0" fontId="76" fillId="0" borderId="16" xfId="0" applyFont="1" applyBorder="1" applyAlignment="1">
      <alignment horizontal="left" vertical="top"/>
    </xf>
    <xf numFmtId="0" fontId="58" fillId="0" borderId="0" xfId="0" applyFont="1" applyBorder="1" applyAlignment="1">
      <alignment horizontal="center" vertical="top" wrapText="1"/>
    </xf>
    <xf numFmtId="0" fontId="76" fillId="0" borderId="15" xfId="0" applyFont="1" applyBorder="1" applyAlignment="1">
      <alignment horizontal="left" vertical="top"/>
    </xf>
    <xf numFmtId="0" fontId="76" fillId="0" borderId="0" xfId="0" applyFont="1" applyBorder="1" applyAlignment="1">
      <alignment horizontal="left" vertical="top"/>
    </xf>
    <xf numFmtId="0" fontId="90" fillId="0" borderId="15" xfId="121" applyFont="1" applyBorder="1" applyAlignment="1">
      <alignment horizontal="center" vertical="center" wrapText="1"/>
    </xf>
    <xf numFmtId="0" fontId="116" fillId="0" borderId="18" xfId="121" applyFont="1" applyFill="1" applyBorder="1" applyAlignment="1">
      <alignment horizontal="center" vertical="center" wrapText="1"/>
    </xf>
    <xf numFmtId="0" fontId="90" fillId="0" borderId="18" xfId="121" applyFont="1" applyBorder="1" applyAlignment="1">
      <alignment horizontal="center" vertical="center" wrapText="1"/>
    </xf>
    <xf numFmtId="0" fontId="90" fillId="0" borderId="18" xfId="121" applyFont="1" applyFill="1" applyBorder="1" applyAlignment="1">
      <alignment horizontal="center" vertical="center" wrapText="1"/>
    </xf>
    <xf numFmtId="0" fontId="76" fillId="0" borderId="0" xfId="121" applyFont="1" applyBorder="1" applyAlignment="1">
      <alignment horizontal="center" vertical="center" wrapText="1"/>
    </xf>
    <xf numFmtId="2" fontId="90" fillId="0" borderId="30" xfId="121" applyNumberFormat="1" applyFont="1" applyFill="1" applyBorder="1" applyAlignment="1">
      <alignment horizontal="center" vertical="center" wrapText="1"/>
    </xf>
    <xf numFmtId="0" fontId="90" fillId="0" borderId="15" xfId="121" applyFont="1" applyBorder="1" applyAlignment="1">
      <alignment vertical="center" wrapText="1"/>
    </xf>
    <xf numFmtId="0" fontId="90" fillId="0" borderId="0" xfId="121" applyFont="1" applyBorder="1" applyAlignment="1">
      <alignment vertical="center" wrapText="1"/>
    </xf>
    <xf numFmtId="0" fontId="76" fillId="0" borderId="15" xfId="121" applyFont="1" applyBorder="1" applyAlignment="1">
      <alignment horizontal="center" vertical="center" wrapText="1"/>
    </xf>
    <xf numFmtId="0" fontId="76" fillId="0" borderId="0" xfId="121" applyFont="1" applyBorder="1" applyAlignment="1">
      <alignment vertical="center" wrapText="1"/>
    </xf>
    <xf numFmtId="0" fontId="90" fillId="0" borderId="17" xfId="121" applyFont="1" applyBorder="1" applyAlignment="1">
      <alignment horizontal="center" vertical="center" wrapText="1"/>
    </xf>
    <xf numFmtId="167" fontId="58" fillId="0" borderId="18" xfId="1" applyNumberFormat="1" applyFont="1" applyBorder="1" applyAlignment="1">
      <alignment horizontal="center" vertical="center"/>
    </xf>
    <xf numFmtId="0" fontId="90" fillId="0" borderId="0" xfId="0" applyFont="1" applyBorder="1" applyAlignment="1">
      <alignment horizontal="left" vertical="top"/>
    </xf>
    <xf numFmtId="0" fontId="56" fillId="0" borderId="16" xfId="0" applyFont="1" applyBorder="1" applyAlignment="1">
      <alignment horizontal="left" vertical="top"/>
    </xf>
    <xf numFmtId="2" fontId="76" fillId="0" borderId="59" xfId="0" applyNumberFormat="1" applyFont="1" applyBorder="1" applyAlignment="1">
      <alignment horizontal="center" vertical="center" wrapText="1"/>
    </xf>
    <xf numFmtId="0" fontId="160" fillId="0" borderId="15" xfId="0" applyFont="1" applyBorder="1" applyAlignment="1">
      <alignment horizontal="center" vertical="center" wrapText="1"/>
    </xf>
    <xf numFmtId="0" fontId="160" fillId="0" borderId="0" xfId="0" applyFont="1" applyBorder="1" applyAlignment="1">
      <alignment horizontal="center" vertical="center" wrapText="1"/>
    </xf>
    <xf numFmtId="0" fontId="90" fillId="0" borderId="16" xfId="0" applyFont="1" applyBorder="1" applyAlignment="1">
      <alignment horizontal="center" vertical="center"/>
    </xf>
    <xf numFmtId="0" fontId="90" fillId="0" borderId="0" xfId="133" applyFont="1" applyBorder="1" applyAlignment="1">
      <alignment horizontal="center" vertical="center"/>
    </xf>
    <xf numFmtId="0" fontId="116" fillId="0" borderId="13" xfId="121" applyFont="1" applyBorder="1" applyAlignment="1">
      <alignment horizontal="center" wrapText="1"/>
    </xf>
    <xf numFmtId="0" fontId="126" fillId="0" borderId="0" xfId="121" applyFont="1" applyAlignment="1">
      <alignment wrapText="1"/>
    </xf>
    <xf numFmtId="0" fontId="116" fillId="0" borderId="0" xfId="121" applyFont="1" applyBorder="1" applyAlignment="1">
      <alignment horizontal="center" wrapText="1"/>
    </xf>
    <xf numFmtId="41" fontId="90" fillId="0" borderId="17" xfId="121" applyNumberFormat="1" applyFont="1" applyBorder="1" applyAlignment="1">
      <alignment vertical="center" wrapText="1"/>
    </xf>
    <xf numFmtId="41" fontId="90" fillId="0" borderId="18" xfId="121" applyNumberFormat="1" applyFont="1" applyBorder="1" applyAlignment="1">
      <alignment vertical="center" wrapText="1"/>
    </xf>
    <xf numFmtId="0" fontId="90" fillId="0" borderId="18" xfId="121" applyFont="1" applyBorder="1" applyAlignment="1">
      <alignment horizontal="center" vertical="center"/>
    </xf>
    <xf numFmtId="0" fontId="116" fillId="0" borderId="30" xfId="121" applyFont="1" applyBorder="1" applyAlignment="1">
      <alignment wrapText="1"/>
    </xf>
    <xf numFmtId="0" fontId="76" fillId="0" borderId="17" xfId="121" applyFont="1" applyBorder="1" applyAlignment="1">
      <alignment horizontal="center" vertical="center" wrapText="1"/>
    </xf>
    <xf numFmtId="0" fontId="76" fillId="0" borderId="18" xfId="121" applyFont="1" applyBorder="1" applyAlignment="1">
      <alignment horizontal="center" vertical="center" wrapText="1"/>
    </xf>
    <xf numFmtId="0" fontId="116" fillId="0" borderId="30" xfId="121" applyFont="1" applyBorder="1" applyAlignment="1">
      <alignment horizontal="center" wrapText="1"/>
    </xf>
    <xf numFmtId="0" fontId="116" fillId="0" borderId="18" xfId="121" applyFont="1" applyBorder="1" applyAlignment="1">
      <alignment horizontal="center" wrapText="1"/>
    </xf>
    <xf numFmtId="0" fontId="116" fillId="0" borderId="19" xfId="121" applyFont="1" applyBorder="1" applyAlignment="1">
      <alignment horizontal="center" wrapText="1"/>
    </xf>
    <xf numFmtId="4" fontId="90" fillId="0" borderId="18" xfId="121" applyNumberFormat="1" applyFont="1" applyBorder="1" applyAlignment="1">
      <alignment horizontal="center" vertical="center" wrapText="1"/>
    </xf>
    <xf numFmtId="2" fontId="116" fillId="0" borderId="18" xfId="121" applyNumberFormat="1" applyFont="1" applyBorder="1" applyAlignment="1">
      <alignment horizontal="center" wrapText="1"/>
    </xf>
    <xf numFmtId="2" fontId="76" fillId="0" borderId="18" xfId="121" applyNumberFormat="1" applyFont="1" applyBorder="1" applyAlignment="1">
      <alignment horizontal="center" vertical="center" wrapText="1"/>
    </xf>
    <xf numFmtId="2" fontId="76" fillId="0" borderId="30" xfId="121" applyNumberFormat="1" applyFont="1" applyBorder="1" applyAlignment="1">
      <alignment horizontal="center" vertical="center" wrapText="1"/>
    </xf>
    <xf numFmtId="2" fontId="76" fillId="0" borderId="19" xfId="121" applyNumberFormat="1" applyFont="1" applyBorder="1" applyAlignment="1">
      <alignment horizontal="center" vertical="center" wrapText="1"/>
    </xf>
    <xf numFmtId="0" fontId="76" fillId="0" borderId="17" xfId="121" quotePrefix="1" applyFont="1" applyBorder="1" applyAlignment="1">
      <alignment horizontal="center" vertical="center" wrapText="1"/>
    </xf>
    <xf numFmtId="2" fontId="76" fillId="0" borderId="17" xfId="121" applyNumberFormat="1" applyFont="1" applyBorder="1" applyAlignment="1">
      <alignment horizontal="center" vertical="center" wrapText="1"/>
    </xf>
    <xf numFmtId="0" fontId="116" fillId="0" borderId="17" xfId="121" applyFont="1" applyBorder="1" applyAlignment="1">
      <alignment horizontal="center" wrapText="1"/>
    </xf>
    <xf numFmtId="0" fontId="115" fillId="0" borderId="18" xfId="121" applyFont="1" applyBorder="1" applyAlignment="1">
      <alignment horizontal="center" vertical="center" wrapText="1"/>
    </xf>
    <xf numFmtId="2" fontId="58" fillId="0" borderId="18" xfId="121" applyNumberFormat="1" applyFont="1" applyBorder="1" applyAlignment="1">
      <alignment horizontal="center" vertical="center" wrapText="1"/>
    </xf>
    <xf numFmtId="2" fontId="116" fillId="0" borderId="30" xfId="121" applyNumberFormat="1" applyFont="1" applyBorder="1" applyAlignment="1">
      <alignment horizontal="center" vertical="center" wrapText="1"/>
    </xf>
    <xf numFmtId="0" fontId="76" fillId="0" borderId="18" xfId="121" applyFont="1" applyBorder="1" applyAlignment="1">
      <alignment horizontal="center" vertical="center"/>
    </xf>
    <xf numFmtId="2" fontId="76" fillId="0" borderId="18" xfId="121" applyNumberFormat="1" applyFont="1" applyBorder="1" applyAlignment="1">
      <alignment horizontal="center" vertical="center"/>
    </xf>
    <xf numFmtId="2" fontId="76" fillId="0" borderId="30" xfId="121" applyNumberFormat="1" applyFont="1" applyBorder="1" applyAlignment="1">
      <alignment horizontal="center" vertical="center"/>
    </xf>
    <xf numFmtId="2" fontId="76" fillId="0" borderId="19" xfId="121" applyNumberFormat="1" applyFont="1" applyBorder="1" applyAlignment="1">
      <alignment horizontal="center" vertical="center"/>
    </xf>
    <xf numFmtId="170" fontId="76" fillId="0" borderId="18" xfId="121" applyNumberFormat="1" applyFont="1" applyBorder="1" applyAlignment="1">
      <alignment horizontal="center" vertical="center"/>
    </xf>
    <xf numFmtId="170" fontId="76" fillId="0" borderId="30" xfId="121" applyNumberFormat="1" applyFont="1" applyBorder="1" applyAlignment="1">
      <alignment horizontal="center" vertical="center"/>
    </xf>
    <xf numFmtId="1" fontId="76" fillId="0" borderId="18" xfId="121" applyNumberFormat="1" applyFont="1" applyBorder="1" applyAlignment="1">
      <alignment horizontal="center" vertical="center"/>
    </xf>
    <xf numFmtId="0" fontId="90" fillId="0" borderId="17" xfId="121" quotePrefix="1" applyFont="1" applyBorder="1" applyAlignment="1">
      <alignment horizontal="center" vertical="center" wrapText="1"/>
    </xf>
    <xf numFmtId="2" fontId="90" fillId="0" borderId="30" xfId="121" applyNumberFormat="1" applyFont="1" applyBorder="1" applyAlignment="1">
      <alignment horizontal="center" vertical="center"/>
    </xf>
    <xf numFmtId="2" fontId="90" fillId="0" borderId="19" xfId="121" applyNumberFormat="1" applyFont="1" applyBorder="1" applyAlignment="1">
      <alignment horizontal="center" vertical="center"/>
    </xf>
    <xf numFmtId="0" fontId="116" fillId="0" borderId="0" xfId="121" applyFont="1" applyBorder="1" applyAlignment="1">
      <alignment horizontal="center" vertical="center" wrapText="1"/>
    </xf>
    <xf numFmtId="0" fontId="76" fillId="0" borderId="0" xfId="121" applyFont="1" applyBorder="1" applyAlignment="1">
      <alignment horizontal="center" vertical="center"/>
    </xf>
    <xf numFmtId="0" fontId="76" fillId="0" borderId="0" xfId="121" applyFont="1" applyBorder="1" applyAlignment="1">
      <alignment horizontal="right" vertical="center"/>
    </xf>
    <xf numFmtId="0" fontId="116" fillId="0" borderId="24" xfId="121" applyFont="1" applyBorder="1" applyAlignment="1">
      <alignment horizontal="center" wrapText="1"/>
    </xf>
    <xf numFmtId="0" fontId="126" fillId="0" borderId="0" xfId="121" applyFont="1" applyBorder="1" applyAlignment="1">
      <alignment wrapText="1"/>
    </xf>
    <xf numFmtId="0" fontId="126" fillId="0" borderId="0" xfId="121" applyFont="1" applyBorder="1" applyAlignment="1">
      <alignment horizontal="center" wrapText="1"/>
    </xf>
    <xf numFmtId="0" fontId="168" fillId="0" borderId="0" xfId="121" applyFont="1" applyBorder="1" applyAlignment="1">
      <alignment horizontal="right" vertical="center"/>
    </xf>
    <xf numFmtId="0" fontId="126" fillId="0" borderId="0" xfId="121" applyFont="1" applyAlignment="1">
      <alignment horizontal="center" wrapText="1"/>
    </xf>
    <xf numFmtId="41" fontId="90" fillId="0" borderId="19" xfId="121" applyNumberFormat="1" applyFont="1" applyBorder="1" applyAlignment="1">
      <alignment vertical="center" wrapText="1"/>
    </xf>
    <xf numFmtId="2" fontId="90" fillId="0" borderId="30" xfId="133" applyNumberFormat="1" applyFont="1" applyBorder="1" applyAlignment="1">
      <alignment horizontal="center" vertical="center" wrapText="1"/>
    </xf>
    <xf numFmtId="2" fontId="76" fillId="0" borderId="30" xfId="133" applyNumberFormat="1" applyFont="1" applyBorder="1" applyAlignment="1">
      <alignment horizontal="center" vertical="center" wrapText="1"/>
    </xf>
    <xf numFmtId="0" fontId="75" fillId="0" borderId="15" xfId="0" applyFont="1" applyBorder="1" applyAlignment="1">
      <alignment horizontal="center" vertical="center" wrapText="1"/>
    </xf>
    <xf numFmtId="0" fontId="75" fillId="0" borderId="0" xfId="0" applyFont="1" applyBorder="1" applyAlignment="1">
      <alignment horizontal="center" vertical="center" wrapText="1"/>
    </xf>
    <xf numFmtId="0" fontId="133" fillId="0" borderId="0" xfId="0" applyFont="1" applyBorder="1" applyAlignment="1">
      <alignment vertical="center"/>
    </xf>
    <xf numFmtId="0" fontId="133" fillId="0" borderId="0" xfId="0" applyFont="1" applyBorder="1" applyAlignment="1">
      <alignment horizontal="left" vertical="center"/>
    </xf>
    <xf numFmtId="0" fontId="76" fillId="0" borderId="49" xfId="0" applyFont="1" applyBorder="1" applyAlignment="1">
      <alignment horizontal="left" vertical="center"/>
    </xf>
    <xf numFmtId="1" fontId="130" fillId="0" borderId="18" xfId="0" applyNumberFormat="1" applyFont="1" applyBorder="1" applyAlignment="1">
      <alignment horizontal="center" vertical="center" shrinkToFit="1"/>
    </xf>
    <xf numFmtId="1" fontId="102" fillId="0" borderId="18" xfId="0" applyNumberFormat="1" applyFont="1" applyBorder="1" applyAlignment="1">
      <alignment horizontal="center" vertical="center" shrinkToFit="1"/>
    </xf>
    <xf numFmtId="1" fontId="130" fillId="0" borderId="30" xfId="0" applyNumberFormat="1" applyFont="1" applyBorder="1" applyAlignment="1">
      <alignment horizontal="center" vertical="center" shrinkToFit="1"/>
    </xf>
    <xf numFmtId="1" fontId="130" fillId="0" borderId="19" xfId="0" applyNumberFormat="1" applyFont="1" applyBorder="1" applyAlignment="1">
      <alignment horizontal="center" vertical="center" shrinkToFit="1"/>
    </xf>
    <xf numFmtId="2" fontId="76" fillId="0" borderId="0" xfId="0" applyNumberFormat="1" applyFont="1" applyAlignment="1">
      <alignment horizontal="left" vertical="center"/>
    </xf>
    <xf numFmtId="1" fontId="169" fillId="0" borderId="18" xfId="141" applyNumberFormat="1" applyFont="1" applyFill="1" applyBorder="1" applyAlignment="1" applyProtection="1">
      <alignment horizontal="center" vertical="center" shrinkToFit="1"/>
    </xf>
    <xf numFmtId="0" fontId="169" fillId="0" borderId="18" xfId="141" applyFont="1" applyFill="1" applyBorder="1" applyAlignment="1" applyProtection="1">
      <alignment horizontal="center" vertical="center" wrapText="1"/>
    </xf>
    <xf numFmtId="0" fontId="76" fillId="0" borderId="0" xfId="0" applyFont="1" applyFill="1" applyBorder="1" applyAlignment="1">
      <alignment horizontal="left" vertical="center"/>
    </xf>
    <xf numFmtId="0" fontId="76" fillId="0" borderId="16" xfId="0" applyFont="1" applyFill="1" applyBorder="1" applyAlignment="1">
      <alignment horizontal="left" vertical="center"/>
    </xf>
    <xf numFmtId="0" fontId="66" fillId="0" borderId="18" xfId="0" applyFont="1" applyBorder="1" applyAlignment="1">
      <alignment horizontal="left" vertical="center"/>
    </xf>
    <xf numFmtId="0" fontId="76" fillId="0" borderId="30" xfId="0" applyFont="1" applyBorder="1" applyAlignment="1">
      <alignment horizontal="left" vertical="center" wrapText="1"/>
    </xf>
    <xf numFmtId="170" fontId="76" fillId="0" borderId="30" xfId="0" applyNumberFormat="1" applyFont="1" applyBorder="1" applyAlignment="1">
      <alignment horizontal="center" vertical="center" wrapText="1"/>
    </xf>
    <xf numFmtId="170" fontId="116" fillId="0" borderId="30" xfId="0" applyNumberFormat="1" applyFont="1" applyFill="1" applyBorder="1" applyAlignment="1">
      <alignment horizontal="center" vertical="center" wrapText="1"/>
    </xf>
    <xf numFmtId="170" fontId="116" fillId="0" borderId="19" xfId="0" applyNumberFormat="1" applyFont="1" applyFill="1" applyBorder="1" applyAlignment="1">
      <alignment horizontal="center" vertical="center" wrapText="1"/>
    </xf>
    <xf numFmtId="170" fontId="90" fillId="0" borderId="18" xfId="0" applyNumberFormat="1" applyFont="1" applyBorder="1" applyAlignment="1">
      <alignment horizontal="center" vertical="center" wrapText="1"/>
    </xf>
    <xf numFmtId="170" fontId="90" fillId="0" borderId="30" xfId="0" applyNumberFormat="1" applyFont="1" applyBorder="1" applyAlignment="1">
      <alignment horizontal="center" vertical="center" wrapText="1"/>
    </xf>
    <xf numFmtId="170" fontId="115" fillId="0" borderId="30" xfId="0" applyNumberFormat="1" applyFont="1" applyFill="1" applyBorder="1" applyAlignment="1">
      <alignment horizontal="center" vertical="center" wrapText="1"/>
    </xf>
    <xf numFmtId="170" fontId="115" fillId="0" borderId="19" xfId="0" applyNumberFormat="1" applyFont="1" applyFill="1" applyBorder="1" applyAlignment="1">
      <alignment horizontal="center" vertical="center" wrapText="1"/>
    </xf>
    <xf numFmtId="0" fontId="76" fillId="0" borderId="18" xfId="0" applyFont="1" applyBorder="1" applyAlignment="1">
      <alignment vertical="center" wrapText="1"/>
    </xf>
    <xf numFmtId="0" fontId="169" fillId="0" borderId="37" xfId="141" applyFont="1" applyBorder="1" applyAlignment="1" applyProtection="1">
      <alignment horizontal="center" vertical="center" wrapText="1"/>
    </xf>
    <xf numFmtId="0" fontId="76" fillId="0" borderId="37" xfId="0" applyFont="1" applyBorder="1" applyAlignment="1">
      <alignment vertical="center" wrapText="1"/>
    </xf>
    <xf numFmtId="0" fontId="75" fillId="0" borderId="18" xfId="0" applyFont="1" applyFill="1" applyBorder="1" applyAlignment="1">
      <alignment horizontal="left" vertical="center"/>
    </xf>
    <xf numFmtId="0" fontId="169" fillId="0" borderId="18" xfId="141" applyFont="1" applyBorder="1" applyAlignment="1" applyProtection="1">
      <alignment horizontal="center" vertical="center" wrapText="1"/>
    </xf>
    <xf numFmtId="2" fontId="90" fillId="0" borderId="18" xfId="0" applyNumberFormat="1" applyFont="1" applyBorder="1" applyAlignment="1">
      <alignment horizontal="center" vertical="center" wrapText="1"/>
    </xf>
    <xf numFmtId="0" fontId="70" fillId="0" borderId="18" xfId="0" applyFont="1" applyFill="1" applyBorder="1" applyAlignment="1">
      <alignment horizontal="left" vertical="center" wrapText="1"/>
    </xf>
    <xf numFmtId="0" fontId="70" fillId="0" borderId="0" xfId="0" applyFont="1" applyFill="1" applyBorder="1" applyAlignment="1">
      <alignment horizontal="left" vertical="center"/>
    </xf>
    <xf numFmtId="0" fontId="169" fillId="0" borderId="0" xfId="141" applyFont="1" applyBorder="1" applyAlignment="1" applyProtection="1">
      <alignment horizontal="center" vertical="center" wrapText="1"/>
    </xf>
    <xf numFmtId="2" fontId="90" fillId="0" borderId="0" xfId="0" applyNumberFormat="1" applyFont="1" applyBorder="1" applyAlignment="1">
      <alignment horizontal="center" vertical="center" wrapText="1"/>
    </xf>
    <xf numFmtId="2" fontId="76" fillId="0" borderId="0" xfId="0" applyNumberFormat="1" applyFont="1" applyBorder="1" applyAlignment="1">
      <alignment horizontal="center" vertical="center" wrapText="1"/>
    </xf>
    <xf numFmtId="2" fontId="76" fillId="0" borderId="16" xfId="0" applyNumberFormat="1" applyFont="1" applyBorder="1" applyAlignment="1">
      <alignment horizontal="center" vertical="center" wrapText="1"/>
    </xf>
    <xf numFmtId="0" fontId="68" fillId="0" borderId="0" xfId="0" applyFont="1" applyBorder="1" applyAlignment="1">
      <alignment horizontal="left" vertical="center"/>
    </xf>
    <xf numFmtId="0" fontId="76" fillId="0" borderId="18" xfId="0" applyFont="1" applyBorder="1" applyAlignment="1">
      <alignment horizontal="center"/>
    </xf>
    <xf numFmtId="2" fontId="76" fillId="0" borderId="18" xfId="0" applyNumberFormat="1" applyFont="1" applyBorder="1" applyAlignment="1">
      <alignment horizontal="center"/>
    </xf>
    <xf numFmtId="1" fontId="76" fillId="0" borderId="18" xfId="0" applyNumberFormat="1" applyFont="1" applyBorder="1" applyAlignment="1">
      <alignment horizontal="center"/>
    </xf>
    <xf numFmtId="14" fontId="76" fillId="0" borderId="0" xfId="0" applyNumberFormat="1" applyFont="1" applyAlignment="1">
      <alignment horizontal="left" vertical="center"/>
    </xf>
    <xf numFmtId="2" fontId="76" fillId="0" borderId="0" xfId="0" applyNumberFormat="1" applyFont="1" applyAlignment="1">
      <alignment horizontal="center" vertical="center"/>
    </xf>
    <xf numFmtId="0" fontId="116" fillId="0" borderId="12" xfId="121" applyFont="1" applyBorder="1" applyAlignment="1">
      <alignment vertical="center" wrapText="1"/>
    </xf>
    <xf numFmtId="0" fontId="116" fillId="0" borderId="13" xfId="121" applyFont="1" applyBorder="1" applyAlignment="1">
      <alignment vertical="center" wrapText="1"/>
    </xf>
    <xf numFmtId="0" fontId="58" fillId="0" borderId="14" xfId="0" applyFont="1" applyBorder="1" applyAlignment="1">
      <alignment horizontal="center" vertical="center"/>
    </xf>
    <xf numFmtId="0" fontId="116" fillId="0" borderId="15" xfId="121" applyFont="1" applyBorder="1" applyAlignment="1">
      <alignment vertical="center" wrapText="1"/>
    </xf>
    <xf numFmtId="0" fontId="116" fillId="0" borderId="0" xfId="121" applyFont="1" applyAlignment="1">
      <alignment vertical="center" wrapText="1"/>
    </xf>
    <xf numFmtId="0" fontId="90" fillId="0" borderId="17" xfId="121" applyFont="1" applyBorder="1" applyAlignment="1">
      <alignment vertical="center" wrapText="1"/>
    </xf>
    <xf numFmtId="0" fontId="90" fillId="0" borderId="19" xfId="121" applyFont="1" applyBorder="1" applyAlignment="1">
      <alignment horizontal="center" vertical="center" wrapText="1"/>
    </xf>
    <xf numFmtId="0" fontId="76" fillId="0" borderId="19" xfId="121" applyFont="1" applyBorder="1" applyAlignment="1">
      <alignment horizontal="center" vertical="center" wrapText="1"/>
    </xf>
    <xf numFmtId="0" fontId="76" fillId="0" borderId="17" xfId="121" applyFont="1" applyBorder="1" applyAlignment="1">
      <alignment vertical="center" wrapText="1"/>
    </xf>
    <xf numFmtId="0" fontId="116" fillId="0" borderId="16" xfId="121" applyFont="1" applyBorder="1" applyAlignment="1">
      <alignment vertical="center" wrapText="1"/>
    </xf>
    <xf numFmtId="0" fontId="116" fillId="0" borderId="23" xfId="121" applyFont="1" applyBorder="1" applyAlignment="1">
      <alignment vertical="center" wrapText="1"/>
    </xf>
    <xf numFmtId="0" fontId="116" fillId="0" borderId="24" xfId="121" applyFont="1" applyBorder="1" applyAlignment="1">
      <alignment vertical="center" wrapText="1"/>
    </xf>
    <xf numFmtId="0" fontId="116" fillId="0" borderId="19" xfId="121" applyFont="1" applyFill="1" applyBorder="1" applyAlignment="1">
      <alignment wrapText="1"/>
    </xf>
    <xf numFmtId="170" fontId="116" fillId="0" borderId="19" xfId="121" applyNumberFormat="1" applyFont="1" applyFill="1" applyBorder="1" applyAlignment="1">
      <alignment horizontal="center" vertical="center" wrapText="1"/>
    </xf>
    <xf numFmtId="2" fontId="116" fillId="0" borderId="19" xfId="121" applyNumberFormat="1" applyFont="1" applyFill="1" applyBorder="1" applyAlignment="1">
      <alignment horizontal="center" vertical="center" wrapText="1"/>
    </xf>
    <xf numFmtId="2" fontId="115" fillId="0" borderId="19" xfId="121" applyNumberFormat="1" applyFont="1" applyFill="1" applyBorder="1" applyAlignment="1">
      <alignment horizontal="center" vertical="center" wrapText="1"/>
    </xf>
    <xf numFmtId="10" fontId="115" fillId="0" borderId="19" xfId="124" applyNumberFormat="1" applyFont="1" applyFill="1" applyBorder="1" applyAlignment="1">
      <alignment horizontal="center" vertical="center" wrapText="1"/>
    </xf>
    <xf numFmtId="0" fontId="115" fillId="0" borderId="15" xfId="0" applyFont="1" applyBorder="1" applyAlignment="1">
      <alignment horizontal="center" vertical="center" wrapText="1"/>
    </xf>
    <xf numFmtId="0" fontId="115" fillId="0" borderId="0" xfId="0" applyFont="1" applyBorder="1" applyAlignment="1">
      <alignment horizontal="center" vertical="center" wrapText="1"/>
    </xf>
    <xf numFmtId="0" fontId="76" fillId="0" borderId="0" xfId="0" applyFont="1" applyBorder="1" applyAlignment="1">
      <alignment vertical="center" wrapText="1"/>
    </xf>
    <xf numFmtId="0" fontId="115" fillId="0" borderId="18" xfId="0" applyFont="1" applyBorder="1" applyAlignment="1">
      <alignment horizontal="center" vertical="center"/>
    </xf>
    <xf numFmtId="0" fontId="115" fillId="0" borderId="19" xfId="0" applyFont="1" applyBorder="1" applyAlignment="1">
      <alignment horizontal="center" vertical="center"/>
    </xf>
    <xf numFmtId="0" fontId="76" fillId="0" borderId="19" xfId="0" applyFont="1" applyBorder="1" applyAlignment="1">
      <alignment horizontal="center" vertical="top"/>
    </xf>
    <xf numFmtId="0" fontId="76" fillId="0" borderId="36" xfId="0" applyFont="1" applyBorder="1" applyAlignment="1">
      <alignment horizontal="center" vertical="center" wrapText="1"/>
    </xf>
    <xf numFmtId="0" fontId="90" fillId="0" borderId="18" xfId="0" applyFont="1" applyBorder="1" applyAlignment="1">
      <alignment vertical="center" wrapText="1"/>
    </xf>
    <xf numFmtId="4" fontId="76" fillId="0" borderId="18" xfId="0" applyNumberFormat="1" applyFont="1" applyBorder="1" applyAlignment="1">
      <alignment horizontal="right" vertical="center" wrapText="1"/>
    </xf>
    <xf numFmtId="0" fontId="76" fillId="0" borderId="18" xfId="0" applyFont="1" applyBorder="1" applyAlignment="1">
      <alignment horizontal="right" vertical="center" wrapText="1"/>
    </xf>
    <xf numFmtId="4" fontId="76" fillId="0" borderId="18" xfId="0" applyNumberFormat="1" applyFont="1" applyFill="1" applyBorder="1" applyAlignment="1">
      <alignment horizontal="center" vertical="center" wrapText="1"/>
    </xf>
    <xf numFmtId="0" fontId="76" fillId="0" borderId="18" xfId="0" applyFont="1" applyFill="1" applyBorder="1" applyAlignment="1">
      <alignment horizontal="center" vertical="center" wrapText="1"/>
    </xf>
    <xf numFmtId="0" fontId="76" fillId="0" borderId="19" xfId="0" applyFont="1" applyFill="1" applyBorder="1" applyAlignment="1">
      <alignment horizontal="center" vertical="center" wrapText="1"/>
    </xf>
    <xf numFmtId="4" fontId="76" fillId="0" borderId="19" xfId="0" applyNumberFormat="1" applyFont="1" applyFill="1" applyBorder="1" applyAlignment="1">
      <alignment horizontal="center" vertical="center" wrapText="1"/>
    </xf>
    <xf numFmtId="10" fontId="90" fillId="0" borderId="18" xfId="0" applyNumberFormat="1" applyFont="1" applyBorder="1" applyAlignment="1">
      <alignment horizontal="right" vertical="center" wrapText="1"/>
    </xf>
    <xf numFmtId="10" fontId="90" fillId="0" borderId="18" xfId="0" applyNumberFormat="1" applyFont="1" applyBorder="1" applyAlignment="1">
      <alignment horizontal="center" vertical="center" wrapText="1"/>
    </xf>
    <xf numFmtId="10" fontId="90" fillId="0" borderId="18" xfId="0" applyNumberFormat="1" applyFont="1" applyFill="1" applyBorder="1" applyAlignment="1">
      <alignment horizontal="center" vertical="center" wrapText="1"/>
    </xf>
    <xf numFmtId="10" fontId="90" fillId="0" borderId="19" xfId="0" applyNumberFormat="1" applyFont="1" applyFill="1" applyBorder="1" applyAlignment="1">
      <alignment horizontal="center" vertical="center" wrapText="1"/>
    </xf>
    <xf numFmtId="2" fontId="76" fillId="0" borderId="18" xfId="0" applyNumberFormat="1" applyFont="1" applyBorder="1" applyAlignment="1">
      <alignment horizontal="right" vertical="center" wrapText="1"/>
    </xf>
    <xf numFmtId="0" fontId="76" fillId="0" borderId="18" xfId="0" applyFont="1" applyFill="1" applyBorder="1" applyAlignment="1">
      <alignment horizontal="center" vertical="top"/>
    </xf>
    <xf numFmtId="0" fontId="76" fillId="0" borderId="19" xfId="0" applyFont="1" applyFill="1" applyBorder="1" applyAlignment="1">
      <alignment horizontal="center" vertical="top"/>
    </xf>
    <xf numFmtId="0" fontId="76" fillId="0" borderId="18" xfId="0" applyFont="1" applyFill="1" applyBorder="1" applyAlignment="1">
      <alignment horizontal="left" vertical="top"/>
    </xf>
    <xf numFmtId="0" fontId="76" fillId="0" borderId="19" xfId="0" applyFont="1" applyFill="1" applyBorder="1" applyAlignment="1">
      <alignment horizontal="left" vertical="top"/>
    </xf>
    <xf numFmtId="4" fontId="76" fillId="0" borderId="18" xfId="0" applyNumberFormat="1" applyFont="1" applyFill="1" applyBorder="1" applyAlignment="1">
      <alignment horizontal="center" vertical="center"/>
    </xf>
    <xf numFmtId="4" fontId="76" fillId="0" borderId="19" xfId="0" applyNumberFormat="1" applyFont="1" applyFill="1" applyBorder="1" applyAlignment="1">
      <alignment horizontal="center" vertical="center"/>
    </xf>
    <xf numFmtId="0" fontId="56" fillId="0" borderId="18" xfId="0" applyFont="1" applyBorder="1" applyAlignment="1">
      <alignment horizontal="center" vertical="center" wrapText="1"/>
    </xf>
    <xf numFmtId="0" fontId="116" fillId="0" borderId="18" xfId="0" applyFont="1" applyBorder="1" applyAlignment="1">
      <alignment horizontal="right" vertical="center" wrapText="1"/>
    </xf>
    <xf numFmtId="4" fontId="116" fillId="0" borderId="18" xfId="0" applyNumberFormat="1" applyFont="1" applyBorder="1" applyAlignment="1">
      <alignment horizontal="center" vertical="center" wrapText="1"/>
    </xf>
    <xf numFmtId="4" fontId="56" fillId="0" borderId="18" xfId="0" applyNumberFormat="1" applyFont="1" applyBorder="1" applyAlignment="1">
      <alignment horizontal="center" vertical="center" wrapText="1"/>
    </xf>
    <xf numFmtId="4" fontId="56" fillId="0" borderId="18" xfId="0" applyNumberFormat="1" applyFont="1" applyFill="1" applyBorder="1" applyAlignment="1">
      <alignment horizontal="center" vertical="center" wrapText="1"/>
    </xf>
    <xf numFmtId="4" fontId="56" fillId="0" borderId="19" xfId="0" applyNumberFormat="1" applyFont="1" applyFill="1" applyBorder="1" applyAlignment="1">
      <alignment horizontal="center" vertical="center" wrapText="1"/>
    </xf>
    <xf numFmtId="10" fontId="58" fillId="0" borderId="18" xfId="0" applyNumberFormat="1" applyFont="1" applyBorder="1" applyAlignment="1">
      <alignment horizontal="center" vertical="center" wrapText="1"/>
    </xf>
    <xf numFmtId="166" fontId="76" fillId="0" borderId="18" xfId="0" applyNumberFormat="1" applyFont="1" applyBorder="1" applyAlignment="1">
      <alignment horizontal="right" vertical="center" wrapText="1"/>
    </xf>
    <xf numFmtId="2" fontId="56" fillId="0" borderId="18" xfId="0" applyNumberFormat="1" applyFont="1" applyBorder="1" applyAlignment="1">
      <alignment horizontal="center" vertical="center" wrapText="1"/>
    </xf>
    <xf numFmtId="166" fontId="56" fillId="0" borderId="18" xfId="0" applyNumberFormat="1" applyFont="1" applyBorder="1" applyAlignment="1">
      <alignment horizontal="center" vertical="center" wrapText="1"/>
    </xf>
    <xf numFmtId="166" fontId="76" fillId="0" borderId="18" xfId="0" applyNumberFormat="1" applyFont="1" applyBorder="1" applyAlignment="1">
      <alignment horizontal="center" vertical="center" wrapText="1"/>
    </xf>
    <xf numFmtId="166" fontId="76" fillId="0" borderId="18" xfId="0" applyNumberFormat="1" applyFont="1" applyFill="1" applyBorder="1" applyAlignment="1">
      <alignment horizontal="center" vertical="center" wrapText="1"/>
    </xf>
    <xf numFmtId="166" fontId="76" fillId="0" borderId="18" xfId="0" applyNumberFormat="1" applyFont="1" applyBorder="1" applyAlignment="1">
      <alignment horizontal="center" vertical="center"/>
    </xf>
    <xf numFmtId="166" fontId="76" fillId="0" borderId="18" xfId="0" applyNumberFormat="1" applyFont="1" applyFill="1" applyBorder="1" applyAlignment="1">
      <alignment horizontal="center" vertical="center"/>
    </xf>
    <xf numFmtId="2" fontId="76" fillId="0" borderId="18" xfId="0" applyNumberFormat="1" applyFont="1" applyFill="1" applyBorder="1" applyAlignment="1">
      <alignment horizontal="center" vertical="center"/>
    </xf>
    <xf numFmtId="166" fontId="76" fillId="0" borderId="19" xfId="0" applyNumberFormat="1" applyFont="1" applyFill="1" applyBorder="1" applyAlignment="1">
      <alignment horizontal="center" vertical="center"/>
    </xf>
    <xf numFmtId="166" fontId="76" fillId="0" borderId="19" xfId="0" applyNumberFormat="1" applyFont="1" applyFill="1" applyBorder="1" applyAlignment="1">
      <alignment horizontal="center" vertical="center" wrapText="1"/>
    </xf>
    <xf numFmtId="2" fontId="56" fillId="0" borderId="18" xfId="0" applyNumberFormat="1" applyFont="1" applyFill="1" applyBorder="1" applyAlignment="1">
      <alignment horizontal="center" vertical="center" wrapText="1"/>
    </xf>
    <xf numFmtId="166" fontId="56" fillId="0" borderId="18" xfId="0" applyNumberFormat="1" applyFont="1" applyFill="1" applyBorder="1" applyAlignment="1">
      <alignment horizontal="center" vertical="center" wrapText="1"/>
    </xf>
    <xf numFmtId="166" fontId="56" fillId="0" borderId="19" xfId="0" applyNumberFormat="1" applyFont="1" applyFill="1" applyBorder="1" applyAlignment="1">
      <alignment horizontal="center" vertical="center" wrapText="1"/>
    </xf>
    <xf numFmtId="2" fontId="56" fillId="0" borderId="19" xfId="0" applyNumberFormat="1" applyFont="1" applyFill="1" applyBorder="1" applyAlignment="1">
      <alignment horizontal="center" vertical="center" wrapText="1"/>
    </xf>
    <xf numFmtId="10" fontId="90" fillId="0" borderId="18" xfId="124" applyNumberFormat="1" applyFont="1" applyBorder="1" applyAlignment="1">
      <alignment horizontal="right" vertical="center" wrapText="1"/>
    </xf>
    <xf numFmtId="10" fontId="58" fillId="0" borderId="18" xfId="0" applyNumberFormat="1" applyFont="1" applyFill="1" applyBorder="1" applyAlignment="1">
      <alignment horizontal="center" vertical="center" wrapText="1"/>
    </xf>
    <xf numFmtId="2" fontId="76" fillId="0" borderId="18" xfId="0" applyNumberFormat="1" applyFont="1" applyFill="1" applyBorder="1" applyAlignment="1">
      <alignment horizontal="left" vertical="top"/>
    </xf>
    <xf numFmtId="2" fontId="76" fillId="0" borderId="18" xfId="0" applyNumberFormat="1" applyFont="1" applyFill="1" applyBorder="1" applyAlignment="1">
      <alignment horizontal="center" vertical="top"/>
    </xf>
    <xf numFmtId="10" fontId="90" fillId="0" borderId="19" xfId="0" applyNumberFormat="1" applyFont="1" applyBorder="1" applyAlignment="1">
      <alignment horizontal="center" vertical="center" wrapText="1"/>
    </xf>
    <xf numFmtId="166" fontId="76" fillId="0" borderId="19" xfId="0" applyNumberFormat="1" applyFont="1" applyBorder="1" applyAlignment="1">
      <alignment horizontal="center" vertical="center" wrapText="1"/>
    </xf>
    <xf numFmtId="4" fontId="76" fillId="8" borderId="18" xfId="0" applyNumberFormat="1" applyFont="1" applyFill="1" applyBorder="1" applyAlignment="1">
      <alignment horizontal="center" vertical="center" wrapText="1"/>
    </xf>
    <xf numFmtId="4" fontId="76" fillId="8" borderId="19" xfId="0" applyNumberFormat="1" applyFont="1" applyFill="1" applyBorder="1" applyAlignment="1">
      <alignment horizontal="center" vertical="center" wrapText="1"/>
    </xf>
    <xf numFmtId="10" fontId="58" fillId="0" borderId="19" xfId="0" applyNumberFormat="1" applyFont="1" applyBorder="1" applyAlignment="1">
      <alignment horizontal="center" vertical="center" wrapText="1"/>
    </xf>
    <xf numFmtId="0" fontId="76" fillId="0" borderId="80" xfId="0" applyFont="1" applyBorder="1" applyAlignment="1">
      <alignment horizontal="center" vertical="center" wrapText="1"/>
    </xf>
    <xf numFmtId="0" fontId="76" fillId="0" borderId="51" xfId="0" applyFont="1" applyBorder="1" applyAlignment="1">
      <alignment vertical="center" wrapText="1"/>
    </xf>
    <xf numFmtId="2" fontId="76" fillId="0" borderId="51" xfId="0" applyNumberFormat="1" applyFont="1" applyBorder="1" applyAlignment="1">
      <alignment horizontal="right" vertical="center" wrapText="1"/>
    </xf>
    <xf numFmtId="4" fontId="76" fillId="0" borderId="51" xfId="0" applyNumberFormat="1" applyFont="1" applyBorder="1" applyAlignment="1">
      <alignment horizontal="center" vertical="center" wrapText="1"/>
    </xf>
    <xf numFmtId="4" fontId="76" fillId="0" borderId="76" xfId="0" applyNumberFormat="1" applyFont="1" applyBorder="1" applyAlignment="1">
      <alignment horizontal="center" vertical="center" wrapText="1"/>
    </xf>
    <xf numFmtId="0" fontId="76" fillId="0" borderId="23" xfId="0" applyFont="1" applyBorder="1" applyAlignment="1">
      <alignment horizontal="center" vertical="top"/>
    </xf>
    <xf numFmtId="0" fontId="115" fillId="0" borderId="24" xfId="125" applyFont="1" applyBorder="1"/>
    <xf numFmtId="0" fontId="90" fillId="0" borderId="16" xfId="133" applyFont="1" applyBorder="1" applyAlignment="1">
      <alignment horizontal="center" vertical="center"/>
    </xf>
    <xf numFmtId="0" fontId="58" fillId="0" borderId="0" xfId="1" applyFont="1" applyBorder="1" applyAlignment="1">
      <alignment horizontal="left" vertical="center"/>
    </xf>
    <xf numFmtId="0" fontId="58" fillId="0" borderId="0" xfId="1" applyFont="1" applyBorder="1" applyAlignment="1">
      <alignment vertical="center"/>
    </xf>
    <xf numFmtId="0" fontId="59" fillId="0" borderId="0" xfId="1" applyFont="1" applyBorder="1" applyAlignment="1">
      <alignment horizontal="center" vertical="center"/>
    </xf>
    <xf numFmtId="0" fontId="59" fillId="0" borderId="0" xfId="1" applyFont="1" applyBorder="1" applyAlignment="1">
      <alignment horizontal="left" vertical="center"/>
    </xf>
    <xf numFmtId="0" fontId="56" fillId="0" borderId="0" xfId="1" applyFont="1" applyBorder="1" applyAlignment="1">
      <alignment horizontal="left" vertical="center"/>
    </xf>
    <xf numFmtId="0" fontId="56" fillId="0" borderId="0" xfId="1" applyFont="1" applyBorder="1" applyAlignment="1">
      <alignment vertical="center"/>
    </xf>
    <xf numFmtId="0" fontId="116" fillId="0" borderId="12" xfId="126" applyFont="1" applyBorder="1"/>
    <xf numFmtId="0" fontId="116" fillId="0" borderId="13" xfId="126" applyFont="1" applyBorder="1"/>
    <xf numFmtId="0" fontId="101" fillId="0" borderId="13" xfId="126" applyFont="1" applyBorder="1"/>
    <xf numFmtId="0" fontId="115" fillId="0" borderId="13" xfId="126" applyFont="1" applyBorder="1"/>
    <xf numFmtId="0" fontId="101" fillId="0" borderId="14" xfId="126" applyFont="1" applyBorder="1"/>
    <xf numFmtId="0" fontId="116" fillId="0" borderId="15" xfId="126" applyFont="1" applyBorder="1"/>
    <xf numFmtId="0" fontId="101" fillId="0" borderId="0" xfId="126" applyFont="1" applyBorder="1"/>
    <xf numFmtId="0" fontId="115" fillId="0" borderId="0" xfId="126" applyFont="1" applyBorder="1"/>
    <xf numFmtId="0" fontId="101" fillId="0" borderId="16" xfId="126" applyFont="1" applyBorder="1"/>
    <xf numFmtId="0" fontId="116" fillId="0" borderId="15" xfId="126" applyFont="1" applyBorder="1" applyAlignment="1">
      <alignment horizontal="left"/>
    </xf>
    <xf numFmtId="2" fontId="116" fillId="0" borderId="0" xfId="126" applyNumberFormat="1" applyFont="1" applyBorder="1" applyAlignment="1">
      <alignment horizontal="center" vertical="center"/>
    </xf>
    <xf numFmtId="0" fontId="101" fillId="0" borderId="15" xfId="126" applyFont="1" applyBorder="1"/>
    <xf numFmtId="0" fontId="115" fillId="0" borderId="18" xfId="126" applyFont="1" applyBorder="1" applyAlignment="1">
      <alignment horizontal="center"/>
    </xf>
    <xf numFmtId="0" fontId="116" fillId="0" borderId="18" xfId="126" applyFont="1" applyBorder="1" applyAlignment="1">
      <alignment horizontal="center" wrapText="1"/>
    </xf>
    <xf numFmtId="2" fontId="116" fillId="0" borderId="18" xfId="126" applyNumberFormat="1" applyFont="1" applyBorder="1" applyAlignment="1">
      <alignment horizontal="center"/>
    </xf>
    <xf numFmtId="0" fontId="116" fillId="0" borderId="18" xfId="126" applyFont="1" applyBorder="1" applyAlignment="1">
      <alignment horizontal="left" wrapText="1"/>
    </xf>
    <xf numFmtId="2" fontId="116" fillId="0" borderId="18" xfId="126" applyNumberFormat="1" applyFont="1" applyBorder="1" applyAlignment="1">
      <alignment horizontal="center" vertical="center"/>
    </xf>
    <xf numFmtId="0" fontId="115" fillId="0" borderId="18" xfId="126" applyFont="1" applyBorder="1" applyAlignment="1">
      <alignment horizontal="center" vertical="center"/>
    </xf>
    <xf numFmtId="0" fontId="116" fillId="0" borderId="18" xfId="126" applyFont="1" applyBorder="1" applyAlignment="1">
      <alignment wrapText="1"/>
    </xf>
    <xf numFmtId="0" fontId="115" fillId="0" borderId="15" xfId="126" applyFont="1" applyBorder="1" applyAlignment="1">
      <alignment horizontal="center" vertical="center"/>
    </xf>
    <xf numFmtId="0" fontId="116" fillId="0" borderId="18" xfId="126" applyFont="1" applyBorder="1" applyAlignment="1">
      <alignment horizontal="center" vertical="center" wrapText="1"/>
    </xf>
    <xf numFmtId="2" fontId="116" fillId="0" borderId="18" xfId="126" applyNumberFormat="1" applyFont="1" applyBorder="1" applyAlignment="1">
      <alignment horizontal="center" vertical="center" wrapText="1"/>
    </xf>
    <xf numFmtId="0" fontId="161" fillId="0" borderId="18" xfId="126" applyFont="1" applyBorder="1" applyAlignment="1">
      <alignment horizontal="left" vertical="center" wrapText="1"/>
    </xf>
    <xf numFmtId="0" fontId="116" fillId="0" borderId="18" xfId="126" applyFont="1" applyBorder="1" applyAlignment="1">
      <alignment horizontal="left" vertical="center" wrapText="1"/>
    </xf>
    <xf numFmtId="166" fontId="116" fillId="0" borderId="18" xfId="126" applyNumberFormat="1" applyFont="1" applyBorder="1" applyAlignment="1">
      <alignment horizontal="center" vertical="center"/>
    </xf>
    <xf numFmtId="10" fontId="116" fillId="0" borderId="18" xfId="126" applyNumberFormat="1" applyFont="1" applyBorder="1" applyAlignment="1">
      <alignment horizontal="center" vertical="center"/>
    </xf>
    <xf numFmtId="169" fontId="116" fillId="0" borderId="18" xfId="126" applyNumberFormat="1" applyFont="1" applyBorder="1" applyAlignment="1">
      <alignment horizontal="center" vertical="center"/>
    </xf>
    <xf numFmtId="2" fontId="116" fillId="0" borderId="18" xfId="126" applyNumberFormat="1" applyFont="1" applyFill="1" applyBorder="1" applyAlignment="1">
      <alignment horizontal="center" vertical="center"/>
    </xf>
    <xf numFmtId="0" fontId="116" fillId="0" borderId="0" xfId="126" applyFont="1" applyBorder="1" applyAlignment="1">
      <alignment wrapText="1"/>
    </xf>
    <xf numFmtId="0" fontId="115" fillId="0" borderId="0" xfId="126" applyFont="1" applyBorder="1" applyAlignment="1">
      <alignment horizontal="center" vertical="center"/>
    </xf>
    <xf numFmtId="170" fontId="116" fillId="0" borderId="18" xfId="126" applyNumberFormat="1" applyFont="1" applyBorder="1" applyAlignment="1">
      <alignment horizontal="center" vertical="center"/>
    </xf>
    <xf numFmtId="2" fontId="116" fillId="0" borderId="18" xfId="126" quotePrefix="1" applyNumberFormat="1" applyFont="1" applyBorder="1" applyAlignment="1">
      <alignment horizontal="center" vertical="center"/>
    </xf>
    <xf numFmtId="0" fontId="101" fillId="0" borderId="0" xfId="126" applyFont="1" applyBorder="1" applyAlignment="1">
      <alignment horizontal="left" wrapText="1"/>
    </xf>
    <xf numFmtId="0" fontId="101" fillId="0" borderId="0" xfId="126" applyFont="1" applyBorder="1" applyAlignment="1">
      <alignment horizontal="left"/>
    </xf>
    <xf numFmtId="0" fontId="101" fillId="0" borderId="16" xfId="126" applyFont="1" applyFill="1" applyBorder="1"/>
    <xf numFmtId="0" fontId="101" fillId="0" borderId="18" xfId="126" applyFont="1" applyBorder="1" applyAlignment="1">
      <alignment horizontal="center" vertical="center"/>
    </xf>
    <xf numFmtId="2" fontId="116" fillId="0" borderId="18" xfId="126" applyNumberFormat="1" applyFont="1" applyFill="1" applyBorder="1" applyAlignment="1">
      <alignment horizontal="center" vertical="center" wrapText="1"/>
    </xf>
    <xf numFmtId="0" fontId="116" fillId="0" borderId="18" xfId="126" applyFont="1" applyBorder="1" applyAlignment="1">
      <alignment horizontal="center" vertical="center"/>
    </xf>
    <xf numFmtId="2" fontId="115" fillId="0" borderId="18" xfId="126" applyNumberFormat="1" applyFont="1" applyFill="1" applyBorder="1" applyAlignment="1">
      <alignment horizontal="center" vertical="center" wrapText="1"/>
    </xf>
    <xf numFmtId="2" fontId="115" fillId="0" borderId="18" xfId="126" applyNumberFormat="1" applyFont="1" applyBorder="1" applyAlignment="1">
      <alignment horizontal="center" vertical="center"/>
    </xf>
    <xf numFmtId="0" fontId="116" fillId="0" borderId="0" xfId="126" applyFont="1" applyBorder="1" applyAlignment="1">
      <alignment vertical="top"/>
    </xf>
    <xf numFmtId="2" fontId="116" fillId="0" borderId="0" xfId="126" applyNumberFormat="1" applyFont="1" applyBorder="1"/>
    <xf numFmtId="0" fontId="101" fillId="0" borderId="23" xfId="126" applyFont="1" applyBorder="1"/>
    <xf numFmtId="0" fontId="116" fillId="0" borderId="24" xfId="126" applyFont="1" applyBorder="1"/>
    <xf numFmtId="2" fontId="116" fillId="0" borderId="24" xfId="126" applyNumberFormat="1" applyFont="1" applyBorder="1"/>
    <xf numFmtId="0" fontId="101" fillId="0" borderId="25" xfId="126" applyFont="1" applyBorder="1"/>
    <xf numFmtId="0" fontId="159" fillId="0" borderId="0" xfId="0" applyFont="1" applyBorder="1" applyAlignment="1">
      <alignment vertical="center"/>
    </xf>
    <xf numFmtId="0" fontId="159" fillId="0" borderId="0" xfId="0" applyFont="1" applyBorder="1" applyAlignment="1">
      <alignment horizontal="left" vertical="center"/>
    </xf>
    <xf numFmtId="167" fontId="135" fillId="0" borderId="19" xfId="0" applyNumberFormat="1" applyFont="1" applyBorder="1" applyAlignment="1">
      <alignment horizontal="center" vertical="center" shrinkToFit="1"/>
    </xf>
    <xf numFmtId="0" fontId="68" fillId="0" borderId="17" xfId="0" applyFont="1" applyBorder="1" applyAlignment="1">
      <alignment horizontal="left" vertical="center" wrapText="1"/>
    </xf>
    <xf numFmtId="0" fontId="70" fillId="0" borderId="0" xfId="0" applyFont="1" applyBorder="1" applyAlignment="1">
      <alignment vertical="top" wrapText="1"/>
    </xf>
    <xf numFmtId="0" fontId="58" fillId="0" borderId="18" xfId="133" applyFont="1" applyBorder="1" applyAlignment="1">
      <alignment horizontal="center" vertical="center" wrapText="1"/>
    </xf>
    <xf numFmtId="0" fontId="90" fillId="0" borderId="15" xfId="0" applyFont="1" applyBorder="1" applyAlignment="1">
      <alignment horizontal="left" vertical="center" wrapText="1"/>
    </xf>
    <xf numFmtId="0" fontId="90" fillId="0" borderId="0" xfId="0" applyFont="1" applyBorder="1" applyAlignment="1">
      <alignment horizontal="left" vertical="center" wrapText="1"/>
    </xf>
    <xf numFmtId="0" fontId="90" fillId="0" borderId="16" xfId="0" applyFont="1" applyBorder="1" applyAlignment="1">
      <alignment horizontal="left" vertical="center" wrapText="1"/>
    </xf>
    <xf numFmtId="0" fontId="76" fillId="0" borderId="0" xfId="133" applyFont="1" applyBorder="1" applyAlignment="1">
      <alignment horizontal="left" vertical="top"/>
    </xf>
    <xf numFmtId="0" fontId="76" fillId="0" borderId="18" xfId="121" applyFont="1" applyBorder="1" applyAlignment="1">
      <alignment vertical="center" wrapText="1"/>
    </xf>
    <xf numFmtId="0" fontId="90" fillId="0" borderId="18" xfId="121" applyFont="1" applyBorder="1" applyAlignment="1">
      <alignment horizontal="center" vertical="center" wrapText="1"/>
    </xf>
    <xf numFmtId="0" fontId="76" fillId="0" borderId="18" xfId="121" applyFont="1" applyBorder="1" applyAlignment="1">
      <alignment horizontal="center" vertical="center" wrapText="1"/>
    </xf>
    <xf numFmtId="0" fontId="116" fillId="0" borderId="18" xfId="121" applyFont="1" applyBorder="1" applyAlignment="1">
      <alignment horizontal="center" vertical="center" wrapText="1"/>
    </xf>
    <xf numFmtId="0" fontId="76" fillId="0" borderId="15" xfId="121" applyFont="1" applyBorder="1" applyAlignment="1">
      <alignment horizontal="center" vertical="center" wrapText="1"/>
    </xf>
    <xf numFmtId="0" fontId="76" fillId="0" borderId="0" xfId="0" applyFont="1" applyBorder="1" applyAlignment="1">
      <alignment horizontal="left" vertical="top" wrapText="1"/>
    </xf>
    <xf numFmtId="0" fontId="76" fillId="0" borderId="16" xfId="0" applyFont="1" applyBorder="1" applyAlignment="1">
      <alignment horizontal="left" vertical="top" wrapText="1"/>
    </xf>
    <xf numFmtId="0" fontId="75" fillId="0" borderId="15" xfId="0" applyFont="1" applyBorder="1" applyAlignment="1">
      <alignment horizontal="center" vertical="top" wrapText="1"/>
    </xf>
    <xf numFmtId="0" fontId="75" fillId="0" borderId="0" xfId="0" applyFont="1" applyBorder="1" applyAlignment="1">
      <alignment horizontal="center" vertical="top" wrapText="1"/>
    </xf>
    <xf numFmtId="0" fontId="76" fillId="0" borderId="16" xfId="0" applyFont="1" applyBorder="1" applyAlignment="1">
      <alignment horizontal="left" vertical="top"/>
    </xf>
    <xf numFmtId="0" fontId="90" fillId="0" borderId="15" xfId="121" applyFont="1" applyBorder="1" applyAlignment="1">
      <alignment horizontal="center" vertical="center" wrapText="1"/>
    </xf>
    <xf numFmtId="0" fontId="90" fillId="0" borderId="17" xfId="121" applyFont="1" applyBorder="1" applyAlignment="1">
      <alignment horizontal="center" vertical="center" wrapText="1"/>
    </xf>
    <xf numFmtId="0" fontId="76" fillId="0" borderId="0" xfId="121" applyFont="1" applyBorder="1" applyAlignment="1">
      <alignment horizontal="center" vertical="center" wrapText="1"/>
    </xf>
    <xf numFmtId="0" fontId="76" fillId="0" borderId="15" xfId="0" applyFont="1" applyBorder="1" applyAlignment="1">
      <alignment horizontal="left" vertical="top"/>
    </xf>
    <xf numFmtId="0" fontId="76" fillId="0" borderId="0" xfId="0" applyFont="1" applyBorder="1" applyAlignment="1">
      <alignment horizontal="left" vertical="top"/>
    </xf>
    <xf numFmtId="0" fontId="90" fillId="0" borderId="15" xfId="121" applyFont="1" applyBorder="1" applyAlignment="1">
      <alignment vertical="center" wrapText="1"/>
    </xf>
    <xf numFmtId="0" fontId="90" fillId="0" borderId="0" xfId="121" applyFont="1" applyBorder="1" applyAlignment="1">
      <alignment vertical="center" wrapText="1"/>
    </xf>
    <xf numFmtId="0" fontId="76" fillId="0" borderId="0" xfId="121" applyFont="1" applyBorder="1" applyAlignment="1">
      <alignment vertical="center" wrapText="1"/>
    </xf>
    <xf numFmtId="0" fontId="76" fillId="0" borderId="18" xfId="0" applyFont="1" applyBorder="1" applyAlignment="1">
      <alignment horizontal="center" vertical="center" wrapText="1"/>
    </xf>
    <xf numFmtId="0" fontId="115" fillId="0" borderId="15" xfId="126" applyFont="1" applyBorder="1" applyAlignment="1">
      <alignment horizontal="center"/>
    </xf>
    <xf numFmtId="0" fontId="115" fillId="0" borderId="0" xfId="126" applyFont="1" applyBorder="1" applyAlignment="1">
      <alignment horizontal="center"/>
    </xf>
    <xf numFmtId="0" fontId="116" fillId="0" borderId="0" xfId="126" applyFont="1" applyBorder="1" applyAlignment="1">
      <alignment horizontal="left" vertical="center" wrapText="1"/>
    </xf>
    <xf numFmtId="0" fontId="90" fillId="0" borderId="0" xfId="0" applyFont="1" applyBorder="1" applyAlignment="1">
      <alignment horizontal="center" vertical="center"/>
    </xf>
    <xf numFmtId="0" fontId="76" fillId="0" borderId="0" xfId="0" applyFont="1" applyBorder="1" applyAlignment="1">
      <alignment horizontal="center" vertical="center"/>
    </xf>
    <xf numFmtId="2" fontId="76" fillId="0" borderId="31" xfId="133" applyNumberFormat="1" applyFont="1" applyBorder="1" applyAlignment="1">
      <alignment horizontal="center" vertical="center" wrapText="1"/>
    </xf>
    <xf numFmtId="2" fontId="76" fillId="0" borderId="91" xfId="133" applyNumberFormat="1" applyFont="1" applyBorder="1" applyAlignment="1">
      <alignment horizontal="center" vertical="center" wrapText="1"/>
    </xf>
    <xf numFmtId="170" fontId="76" fillId="0" borderId="18" xfId="133" applyNumberFormat="1" applyFont="1" applyBorder="1" applyAlignment="1">
      <alignment horizontal="center" vertical="center"/>
    </xf>
    <xf numFmtId="170" fontId="76" fillId="0" borderId="19" xfId="133" applyNumberFormat="1" applyFont="1" applyBorder="1" applyAlignment="1">
      <alignment horizontal="center" vertical="center"/>
    </xf>
    <xf numFmtId="2" fontId="76" fillId="0" borderId="75" xfId="133" applyNumberFormat="1" applyFont="1" applyBorder="1" applyAlignment="1">
      <alignment horizontal="center" vertical="center" wrapText="1"/>
    </xf>
    <xf numFmtId="2" fontId="76" fillId="0" borderId="75" xfId="133" applyNumberFormat="1" applyFont="1" applyBorder="1" applyAlignment="1">
      <alignment horizontal="center" wrapText="1"/>
    </xf>
    <xf numFmtId="2" fontId="90" fillId="0" borderId="75" xfId="133" applyNumberFormat="1" applyFont="1" applyBorder="1" applyAlignment="1">
      <alignment horizontal="center" wrapText="1"/>
    </xf>
    <xf numFmtId="2" fontId="76" fillId="0" borderId="92" xfId="133" applyNumberFormat="1" applyFont="1" applyBorder="1" applyAlignment="1">
      <alignment horizontal="center" vertical="center" wrapText="1"/>
    </xf>
    <xf numFmtId="2" fontId="76" fillId="0" borderId="30" xfId="133" applyNumberFormat="1" applyFont="1" applyBorder="1" applyAlignment="1">
      <alignment horizontal="center" wrapText="1"/>
    </xf>
    <xf numFmtId="2" fontId="90" fillId="0" borderId="30" xfId="133" applyNumberFormat="1" applyFont="1" applyBorder="1" applyAlignment="1">
      <alignment horizontal="center" wrapText="1"/>
    </xf>
    <xf numFmtId="2" fontId="90" fillId="0" borderId="75" xfId="133" applyNumberFormat="1" applyFont="1" applyBorder="1" applyAlignment="1">
      <alignment horizontal="center" vertical="center" wrapText="1"/>
    </xf>
    <xf numFmtId="2" fontId="90" fillId="0" borderId="39" xfId="133" applyNumberFormat="1" applyFont="1" applyBorder="1" applyAlignment="1">
      <alignment horizontal="center" vertical="center" wrapText="1"/>
    </xf>
    <xf numFmtId="2" fontId="76" fillId="0" borderId="93" xfId="133" applyNumberFormat="1" applyFont="1" applyBorder="1" applyAlignment="1">
      <alignment horizontal="center" vertical="center" wrapText="1"/>
    </xf>
    <xf numFmtId="2" fontId="76" fillId="0" borderId="18" xfId="133" applyNumberFormat="1" applyFont="1" applyBorder="1" applyAlignment="1">
      <alignment vertical="center" wrapText="1"/>
    </xf>
    <xf numFmtId="2" fontId="76" fillId="0" borderId="18" xfId="133" applyNumberFormat="1" applyFont="1" applyBorder="1" applyAlignment="1">
      <alignment wrapText="1"/>
    </xf>
    <xf numFmtId="2" fontId="76" fillId="0" borderId="18" xfId="133" applyNumberFormat="1" applyFont="1" applyBorder="1" applyAlignment="1">
      <alignment horizontal="center" vertical="top"/>
    </xf>
    <xf numFmtId="2" fontId="90" fillId="0" borderId="18" xfId="133" applyNumberFormat="1" applyFont="1" applyBorder="1" applyAlignment="1">
      <alignment horizontal="center" vertical="top"/>
    </xf>
    <xf numFmtId="0" fontId="122" fillId="0" borderId="13" xfId="133" applyFont="1" applyBorder="1" applyAlignment="1">
      <alignment horizontal="left" vertical="top"/>
    </xf>
    <xf numFmtId="0" fontId="76" fillId="0" borderId="83" xfId="0" applyFont="1" applyFill="1" applyBorder="1" applyAlignment="1">
      <alignment horizontal="left" wrapText="1"/>
    </xf>
    <xf numFmtId="0" fontId="76" fillId="0" borderId="83" xfId="0" applyFont="1" applyFill="1" applyBorder="1" applyAlignment="1">
      <alignment horizontal="center" vertical="center" wrapText="1"/>
    </xf>
    <xf numFmtId="0" fontId="76" fillId="0" borderId="84" xfId="0" applyFont="1" applyFill="1" applyBorder="1" applyAlignment="1">
      <alignment horizontal="left" wrapText="1"/>
    </xf>
    <xf numFmtId="0" fontId="0" fillId="0" borderId="39" xfId="0" applyFill="1" applyBorder="1" applyAlignment="1">
      <alignment horizontal="left" wrapText="1"/>
    </xf>
    <xf numFmtId="0" fontId="153" fillId="0" borderId="21" xfId="138" applyFont="1" applyFill="1" applyBorder="1" applyAlignment="1">
      <alignment horizontal="center" vertical="center"/>
    </xf>
    <xf numFmtId="165" fontId="154" fillId="0" borderId="21" xfId="139" applyFont="1" applyFill="1" applyBorder="1" applyAlignment="1">
      <alignment horizontal="center" vertical="center" wrapText="1"/>
    </xf>
    <xf numFmtId="0" fontId="76" fillId="0" borderId="21" xfId="0" applyFont="1" applyFill="1" applyBorder="1" applyAlignment="1">
      <alignment horizontal="left" wrapText="1"/>
    </xf>
    <xf numFmtId="0" fontId="153" fillId="0" borderId="37" xfId="138" applyFont="1" applyFill="1" applyBorder="1" applyAlignment="1">
      <alignment horizontal="center" vertical="center"/>
    </xf>
    <xf numFmtId="165" fontId="154" fillId="0" borderId="37" xfId="139" applyFont="1" applyFill="1" applyBorder="1" applyAlignment="1">
      <alignment horizontal="center" vertical="center" wrapText="1"/>
    </xf>
    <xf numFmtId="0" fontId="76" fillId="0" borderId="37" xfId="0" applyFont="1" applyFill="1" applyBorder="1" applyAlignment="1">
      <alignment horizontal="left" wrapText="1"/>
    </xf>
    <xf numFmtId="0" fontId="76" fillId="0" borderId="21" xfId="0" applyNumberFormat="1" applyFont="1" applyFill="1" applyBorder="1" applyAlignment="1">
      <alignment horizontal="left" vertical="top" wrapText="1"/>
    </xf>
    <xf numFmtId="2" fontId="153" fillId="0" borderId="37" xfId="138" applyNumberFormat="1" applyFont="1" applyFill="1" applyBorder="1" applyAlignment="1">
      <alignment horizontal="center" vertical="center"/>
    </xf>
    <xf numFmtId="0" fontId="116" fillId="0" borderId="0" xfId="125" applyFont="1" applyBorder="1" applyAlignment="1">
      <alignment vertical="center"/>
    </xf>
    <xf numFmtId="0" fontId="73" fillId="0" borderId="0" xfId="0" applyFont="1" applyBorder="1" applyAlignment="1">
      <alignment horizontal="left" vertical="center"/>
    </xf>
    <xf numFmtId="4" fontId="116" fillId="0" borderId="19" xfId="125" applyNumberFormat="1" applyFont="1" applyBorder="1" applyAlignment="1">
      <alignment horizontal="center" vertical="center"/>
    </xf>
    <xf numFmtId="0" fontId="116" fillId="0" borderId="19" xfId="125" applyFont="1" applyBorder="1" applyAlignment="1">
      <alignment horizontal="center" vertical="center"/>
    </xf>
    <xf numFmtId="0" fontId="116" fillId="0" borderId="0" xfId="125" applyFont="1" applyBorder="1" applyAlignment="1">
      <alignment horizontal="left" vertical="center"/>
    </xf>
    <xf numFmtId="2" fontId="116" fillId="0" borderId="0" xfId="125" applyNumberFormat="1" applyFont="1" applyBorder="1" applyAlignment="1">
      <alignment vertical="center"/>
    </xf>
    <xf numFmtId="0" fontId="127" fillId="0" borderId="0" xfId="125" applyFont="1" applyBorder="1" applyAlignment="1">
      <alignment vertical="center"/>
    </xf>
    <xf numFmtId="0" fontId="90" fillId="0" borderId="18" xfId="0" applyFont="1" applyBorder="1" applyAlignment="1">
      <alignment horizontal="center" vertical="center" wrapText="1"/>
    </xf>
    <xf numFmtId="0" fontId="76" fillId="0" borderId="0" xfId="133" applyFont="1" applyBorder="1" applyAlignment="1">
      <alignment horizontal="left" vertical="top"/>
    </xf>
    <xf numFmtId="0" fontId="76" fillId="0" borderId="31" xfId="0" applyFont="1" applyBorder="1" applyAlignment="1">
      <alignment horizontal="left" vertical="top"/>
    </xf>
    <xf numFmtId="0" fontId="115" fillId="0" borderId="0" xfId="126" applyFont="1" applyBorder="1" applyAlignment="1">
      <alignment horizontal="center"/>
    </xf>
    <xf numFmtId="0" fontId="115" fillId="0" borderId="37" xfId="126" applyFont="1" applyBorder="1" applyAlignment="1">
      <alignment horizontal="center"/>
    </xf>
    <xf numFmtId="0" fontId="76" fillId="0" borderId="0" xfId="133" applyFont="1" applyBorder="1" applyAlignment="1">
      <alignment horizontal="left" vertical="top"/>
    </xf>
    <xf numFmtId="1" fontId="90" fillId="0" borderId="17" xfId="0" applyNumberFormat="1" applyFont="1" applyBorder="1" applyAlignment="1">
      <alignment horizontal="center" vertical="center" shrinkToFit="1"/>
    </xf>
    <xf numFmtId="0" fontId="90" fillId="0" borderId="18" xfId="0" applyFont="1" applyBorder="1" applyAlignment="1">
      <alignment horizontal="center" vertical="center" wrapText="1"/>
    </xf>
    <xf numFmtId="2" fontId="76" fillId="0" borderId="30" xfId="0" applyNumberFormat="1" applyFont="1" applyBorder="1" applyAlignment="1">
      <alignment horizontal="center" vertical="center" wrapText="1"/>
    </xf>
    <xf numFmtId="2" fontId="90" fillId="0" borderId="30" xfId="0" applyNumberFormat="1" applyFont="1" applyBorder="1" applyAlignment="1">
      <alignment horizontal="center" vertical="center" wrapText="1"/>
    </xf>
    <xf numFmtId="0" fontId="90" fillId="0" borderId="30" xfId="0" applyFont="1" applyBorder="1" applyAlignment="1">
      <alignment horizontal="center" vertical="center" wrapText="1"/>
    </xf>
    <xf numFmtId="0" fontId="90" fillId="0" borderId="31" xfId="0" applyFont="1" applyBorder="1" applyAlignment="1">
      <alignment horizontal="center" vertical="center" wrapText="1"/>
    </xf>
    <xf numFmtId="0" fontId="90" fillId="0" borderId="17" xfId="0" applyFont="1" applyBorder="1" applyAlignment="1">
      <alignment horizontal="center" vertical="center" wrapText="1"/>
    </xf>
    <xf numFmtId="0" fontId="90" fillId="0" borderId="37" xfId="0" applyFont="1" applyBorder="1" applyAlignment="1">
      <alignment horizontal="center" vertical="center" wrapText="1"/>
    </xf>
    <xf numFmtId="0" fontId="76" fillId="0" borderId="16" xfId="0" applyFont="1" applyBorder="1" applyAlignment="1">
      <alignment horizontal="left" vertical="top"/>
    </xf>
    <xf numFmtId="0" fontId="76" fillId="0" borderId="15" xfId="0" applyFont="1" applyBorder="1" applyAlignment="1">
      <alignment horizontal="left" vertical="top"/>
    </xf>
    <xf numFmtId="0" fontId="76" fillId="0" borderId="0" xfId="0" applyFont="1" applyBorder="1" applyAlignment="1">
      <alignment horizontal="left" vertical="top"/>
    </xf>
    <xf numFmtId="0" fontId="76" fillId="0" borderId="18" xfId="0" applyFont="1" applyBorder="1" applyAlignment="1">
      <alignment horizontal="center" vertical="center" wrapText="1"/>
    </xf>
    <xf numFmtId="0" fontId="90" fillId="0" borderId="36" xfId="0" applyFont="1" applyBorder="1" applyAlignment="1">
      <alignment horizontal="center" vertical="center" wrapText="1"/>
    </xf>
    <xf numFmtId="0" fontId="90" fillId="0" borderId="0" xfId="0" applyFont="1" applyBorder="1" applyAlignment="1">
      <alignment horizontal="left" vertical="top"/>
    </xf>
    <xf numFmtId="2" fontId="76" fillId="0" borderId="59" xfId="0" applyNumberFormat="1" applyFont="1" applyBorder="1" applyAlignment="1">
      <alignment horizontal="center" vertical="center" wrapText="1"/>
    </xf>
    <xf numFmtId="0" fontId="90" fillId="0" borderId="18" xfId="0" applyFont="1" applyBorder="1" applyAlignment="1">
      <alignment horizontal="left" vertical="top"/>
    </xf>
    <xf numFmtId="0" fontId="90" fillId="0" borderId="15" xfId="0" applyFont="1" applyBorder="1" applyAlignment="1">
      <alignment horizontal="left" vertical="center" wrapText="1"/>
    </xf>
    <xf numFmtId="0" fontId="90" fillId="0" borderId="16" xfId="0" applyFont="1" applyBorder="1" applyAlignment="1">
      <alignment horizontal="left" vertical="center" wrapText="1"/>
    </xf>
    <xf numFmtId="0" fontId="90" fillId="0" borderId="16" xfId="0" applyFont="1" applyBorder="1" applyAlignment="1">
      <alignment horizontal="center" vertical="center" wrapText="1"/>
    </xf>
    <xf numFmtId="0" fontId="58" fillId="0" borderId="0" xfId="0" applyFont="1" applyBorder="1" applyAlignment="1">
      <alignment horizontal="left" vertical="center"/>
    </xf>
    <xf numFmtId="1" fontId="90" fillId="0" borderId="18" xfId="0" applyNumberFormat="1" applyFont="1" applyBorder="1" applyAlignment="1">
      <alignment horizontal="left" vertical="center" shrinkToFit="1"/>
    </xf>
    <xf numFmtId="1" fontId="76" fillId="0" borderId="17" xfId="0" applyNumberFormat="1" applyFont="1" applyFill="1" applyBorder="1" applyAlignment="1">
      <alignment horizontal="center" vertical="center" shrinkToFit="1"/>
    </xf>
    <xf numFmtId="0" fontId="56" fillId="0" borderId="18" xfId="0" applyFont="1" applyFill="1" applyBorder="1" applyAlignment="1">
      <alignment horizontal="left" vertical="center"/>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1" fontId="90" fillId="0" borderId="0" xfId="0" applyNumberFormat="1" applyFont="1" applyBorder="1" applyAlignment="1">
      <alignment vertical="center" shrinkToFit="1"/>
    </xf>
    <xf numFmtId="1" fontId="90" fillId="0" borderId="16" xfId="0" applyNumberFormat="1" applyFont="1" applyBorder="1" applyAlignment="1">
      <alignment vertical="center" shrinkToFit="1"/>
    </xf>
    <xf numFmtId="166" fontId="76" fillId="0" borderId="17" xfId="0" applyNumberFormat="1" applyFont="1" applyFill="1" applyBorder="1" applyAlignment="1">
      <alignment horizontal="center" vertical="center" shrinkToFit="1"/>
    </xf>
    <xf numFmtId="2" fontId="76" fillId="0" borderId="17" xfId="0" applyNumberFormat="1" applyFont="1" applyFill="1" applyBorder="1" applyAlignment="1">
      <alignment horizontal="center" vertical="center" shrinkToFit="1"/>
    </xf>
    <xf numFmtId="0" fontId="90" fillId="0" borderId="16" xfId="133" applyFont="1" applyBorder="1" applyAlignment="1">
      <alignment horizontal="left" vertical="top"/>
    </xf>
    <xf numFmtId="0" fontId="76" fillId="0" borderId="15" xfId="0" applyFont="1" applyBorder="1" applyAlignment="1">
      <alignment vertical="top"/>
    </xf>
    <xf numFmtId="0" fontId="90" fillId="0" borderId="15" xfId="0" applyFont="1" applyBorder="1" applyAlignment="1">
      <alignment vertical="center"/>
    </xf>
    <xf numFmtId="0" fontId="90" fillId="0" borderId="15" xfId="0" applyFont="1" applyBorder="1" applyAlignment="1">
      <alignment horizontal="center" vertical="center" wrapText="1"/>
    </xf>
    <xf numFmtId="0" fontId="90" fillId="0" borderId="0" xfId="0" applyFont="1" applyBorder="1" applyAlignment="1">
      <alignment vertical="center" wrapText="1"/>
    </xf>
    <xf numFmtId="0" fontId="90" fillId="0" borderId="16" xfId="0" applyFont="1" applyBorder="1" applyAlignment="1">
      <alignment vertical="center" wrapText="1"/>
    </xf>
    <xf numFmtId="0" fontId="95" fillId="0" borderId="0" xfId="0" applyFont="1" applyAlignment="1">
      <alignment horizontal="center" vertical="center"/>
    </xf>
    <xf numFmtId="0" fontId="117" fillId="0" borderId="0" xfId="0" applyFont="1" applyAlignment="1">
      <alignment horizontal="center" vertical="center"/>
    </xf>
    <xf numFmtId="0" fontId="118" fillId="0" borderId="0" xfId="0" applyFont="1" applyAlignment="1">
      <alignment horizontal="center" vertical="center"/>
    </xf>
    <xf numFmtId="0" fontId="25" fillId="0" borderId="75" xfId="127" applyFont="1" applyBorder="1" applyAlignment="1">
      <alignment horizontal="left" vertical="center" wrapText="1"/>
    </xf>
    <xf numFmtId="0" fontId="25" fillId="0" borderId="31" xfId="127" applyFont="1" applyBorder="1" applyAlignment="1">
      <alignment horizontal="left" vertical="center" wrapText="1"/>
    </xf>
    <xf numFmtId="0" fontId="25" fillId="0" borderId="23" xfId="127" applyFont="1" applyBorder="1" applyAlignment="1">
      <alignment horizontal="left" vertical="center" wrapText="1"/>
    </xf>
    <xf numFmtId="0" fontId="25" fillId="0" borderId="24" xfId="127" applyFont="1" applyBorder="1" applyAlignment="1">
      <alignment horizontal="left" vertical="center" wrapText="1"/>
    </xf>
    <xf numFmtId="0" fontId="25" fillId="0" borderId="25" xfId="127" applyFont="1" applyBorder="1" applyAlignment="1">
      <alignment horizontal="left" vertical="center" wrapText="1"/>
    </xf>
    <xf numFmtId="0" fontId="73" fillId="0" borderId="15" xfId="127" applyFont="1" applyBorder="1" applyAlignment="1">
      <alignment horizontal="center" vertical="center" wrapText="1"/>
    </xf>
    <xf numFmtId="0" fontId="73" fillId="0" borderId="0" xfId="127" applyFont="1" applyAlignment="1">
      <alignment horizontal="center" vertical="center" wrapText="1"/>
    </xf>
    <xf numFmtId="0" fontId="73" fillId="0" borderId="16" xfId="127" applyFont="1" applyBorder="1" applyAlignment="1">
      <alignment horizontal="center" vertical="center" wrapText="1"/>
    </xf>
    <xf numFmtId="0" fontId="75" fillId="0" borderId="0" xfId="0" applyFont="1" applyBorder="1" applyAlignment="1">
      <alignment horizontal="center" vertical="center"/>
    </xf>
    <xf numFmtId="0" fontId="75" fillId="0" borderId="15" xfId="0" applyFont="1" applyBorder="1" applyAlignment="1">
      <alignment horizontal="center" vertical="center"/>
    </xf>
    <xf numFmtId="0" fontId="75" fillId="0" borderId="16" xfId="0" applyFont="1" applyBorder="1" applyAlignment="1">
      <alignment horizontal="center" vertical="center"/>
    </xf>
    <xf numFmtId="0" fontId="90" fillId="0" borderId="15" xfId="0" applyFont="1" applyBorder="1" applyAlignment="1">
      <alignment horizontal="left" vertical="center" wrapText="1"/>
    </xf>
    <xf numFmtId="0" fontId="90" fillId="0" borderId="0" xfId="0" applyFont="1" applyBorder="1" applyAlignment="1">
      <alignment horizontal="left" vertical="center" wrapText="1"/>
    </xf>
    <xf numFmtId="0" fontId="90" fillId="0" borderId="16" xfId="0" applyFont="1" applyBorder="1" applyAlignment="1">
      <alignment horizontal="left" vertical="center" wrapText="1"/>
    </xf>
    <xf numFmtId="0" fontId="90" fillId="0" borderId="0" xfId="0" applyFont="1" applyBorder="1" applyAlignment="1">
      <alignment horizontal="left" vertical="center"/>
    </xf>
    <xf numFmtId="0" fontId="90" fillId="0" borderId="16" xfId="0" applyFont="1" applyBorder="1" applyAlignment="1">
      <alignment horizontal="left" vertical="center"/>
    </xf>
    <xf numFmtId="0" fontId="169" fillId="0" borderId="21" xfId="141" applyFont="1" applyBorder="1" applyAlignment="1" applyProtection="1">
      <alignment horizontal="center" vertical="center" wrapText="1"/>
    </xf>
    <xf numFmtId="0" fontId="169" fillId="0" borderId="41" xfId="141" applyFont="1" applyBorder="1" applyAlignment="1" applyProtection="1">
      <alignment horizontal="center" vertical="center" wrapText="1"/>
    </xf>
    <xf numFmtId="0" fontId="169" fillId="0" borderId="37" xfId="141" applyFont="1" applyBorder="1" applyAlignment="1" applyProtection="1">
      <alignment horizontal="center" vertical="center" wrapText="1"/>
    </xf>
    <xf numFmtId="0" fontId="90" fillId="0" borderId="26" xfId="133" applyFont="1" applyBorder="1" applyAlignment="1">
      <alignment horizontal="center" vertical="center"/>
    </xf>
    <xf numFmtId="0" fontId="90" fillId="0" borderId="27" xfId="133" applyFont="1" applyBorder="1" applyAlignment="1">
      <alignment horizontal="center" vertical="center"/>
    </xf>
    <xf numFmtId="0" fontId="90" fillId="0" borderId="32" xfId="133" applyFont="1" applyBorder="1" applyAlignment="1">
      <alignment horizontal="center" vertical="center"/>
    </xf>
    <xf numFmtId="0" fontId="56" fillId="0" borderId="0" xfId="133" applyFont="1" applyAlignment="1">
      <alignment horizontal="left" vertical="top" wrapText="1"/>
    </xf>
    <xf numFmtId="0" fontId="58" fillId="0" borderId="26" xfId="133" applyFont="1" applyBorder="1" applyAlignment="1">
      <alignment horizontal="center" vertical="center" wrapText="1"/>
    </xf>
    <xf numFmtId="0" fontId="58" fillId="0" borderId="27" xfId="133" applyFont="1" applyBorder="1" applyAlignment="1">
      <alignment horizontal="center" vertical="center" wrapText="1"/>
    </xf>
    <xf numFmtId="0" fontId="58" fillId="0" borderId="32" xfId="133" applyFont="1" applyBorder="1" applyAlignment="1">
      <alignment horizontal="center" vertical="center" wrapText="1"/>
    </xf>
    <xf numFmtId="0" fontId="76" fillId="0" borderId="15" xfId="133" applyFont="1" applyBorder="1" applyAlignment="1">
      <alignment horizontal="left" vertical="center" wrapText="1"/>
    </xf>
    <xf numFmtId="0" fontId="76" fillId="0" borderId="0" xfId="133" applyFont="1" applyBorder="1" applyAlignment="1">
      <alignment horizontal="left" vertical="center" wrapText="1"/>
    </xf>
    <xf numFmtId="0" fontId="76" fillId="0" borderId="16" xfId="133" applyFont="1" applyBorder="1" applyAlignment="1">
      <alignment horizontal="left" vertical="center" wrapText="1"/>
    </xf>
    <xf numFmtId="0" fontId="58" fillId="0" borderId="28" xfId="133" applyFont="1" applyBorder="1" applyAlignment="1">
      <alignment horizontal="center" vertical="center" wrapText="1"/>
    </xf>
    <xf numFmtId="0" fontId="52" fillId="0" borderId="24" xfId="0" applyFont="1" applyBorder="1" applyAlignment="1">
      <alignment horizontal="center" vertical="center"/>
    </xf>
    <xf numFmtId="0" fontId="90" fillId="0" borderId="54" xfId="0" applyFont="1" applyBorder="1" applyAlignment="1">
      <alignment horizontal="left" vertical="center" wrapText="1"/>
    </xf>
    <xf numFmtId="0" fontId="58" fillId="0" borderId="18" xfId="133" applyFont="1" applyBorder="1" applyAlignment="1">
      <alignment horizontal="center" vertical="center" wrapText="1"/>
    </xf>
    <xf numFmtId="0" fontId="90" fillId="0" borderId="18" xfId="133" applyFont="1" applyBorder="1" applyAlignment="1">
      <alignment horizontal="center" vertical="center"/>
    </xf>
    <xf numFmtId="0" fontId="90" fillId="0" borderId="19" xfId="133" applyFont="1" applyBorder="1" applyAlignment="1">
      <alignment horizontal="center" vertical="center"/>
    </xf>
    <xf numFmtId="0" fontId="52" fillId="0" borderId="25" xfId="0" applyFont="1" applyBorder="1" applyAlignment="1">
      <alignment horizontal="center" vertical="center"/>
    </xf>
    <xf numFmtId="0" fontId="58" fillId="0" borderId="24" xfId="0" applyFont="1" applyBorder="1" applyAlignment="1">
      <alignment horizontal="center" vertical="center"/>
    </xf>
    <xf numFmtId="0" fontId="90" fillId="0" borderId="30" xfId="0" applyFont="1" applyBorder="1" applyAlignment="1">
      <alignment horizontal="center" vertical="center" wrapText="1"/>
    </xf>
    <xf numFmtId="0" fontId="90" fillId="0" borderId="38" xfId="0" applyFont="1" applyBorder="1" applyAlignment="1">
      <alignment horizontal="center" vertical="center" wrapText="1"/>
    </xf>
    <xf numFmtId="0" fontId="90" fillId="0" borderId="39" xfId="0" applyFont="1" applyBorder="1" applyAlignment="1">
      <alignment horizontal="center" vertical="center" wrapText="1"/>
    </xf>
    <xf numFmtId="0" fontId="90" fillId="0" borderId="31" xfId="0" applyFont="1" applyBorder="1" applyAlignment="1">
      <alignment horizontal="center" vertical="center" wrapText="1"/>
    </xf>
    <xf numFmtId="1" fontId="90" fillId="0" borderId="17" xfId="0" applyNumberFormat="1" applyFont="1" applyBorder="1" applyAlignment="1">
      <alignment horizontal="center" vertical="center" shrinkToFit="1"/>
    </xf>
    <xf numFmtId="1" fontId="90" fillId="0" borderId="18" xfId="0" applyNumberFormat="1" applyFont="1" applyBorder="1" applyAlignment="1">
      <alignment horizontal="center" vertical="center" shrinkToFit="1"/>
    </xf>
    <xf numFmtId="0" fontId="90" fillId="0" borderId="17" xfId="0" applyFont="1" applyBorder="1" applyAlignment="1">
      <alignment horizontal="center" vertical="center" wrapText="1"/>
    </xf>
    <xf numFmtId="1" fontId="90" fillId="0" borderId="75" xfId="0" applyNumberFormat="1" applyFont="1" applyBorder="1" applyAlignment="1">
      <alignment horizontal="center" vertical="center" wrapText="1" shrinkToFit="1"/>
    </xf>
    <xf numFmtId="1" fontId="90" fillId="0" borderId="38" xfId="0" applyNumberFormat="1" applyFont="1" applyBorder="1" applyAlignment="1">
      <alignment horizontal="center" vertical="center" wrapText="1" shrinkToFit="1"/>
    </xf>
    <xf numFmtId="1" fontId="90" fillId="0" borderId="31" xfId="0" applyNumberFormat="1" applyFont="1" applyBorder="1" applyAlignment="1">
      <alignment horizontal="center" vertical="center" wrapText="1" shrinkToFit="1"/>
    </xf>
    <xf numFmtId="0" fontId="90" fillId="0" borderId="21" xfId="0" applyFont="1" applyBorder="1" applyAlignment="1">
      <alignment horizontal="center" vertical="center" wrapText="1"/>
    </xf>
    <xf numFmtId="0" fontId="90" fillId="0" borderId="37" xfId="0" applyFont="1" applyBorder="1" applyAlignment="1">
      <alignment horizontal="center" vertical="center" wrapText="1"/>
    </xf>
    <xf numFmtId="0" fontId="90" fillId="0" borderId="18" xfId="0" applyFont="1" applyBorder="1" applyAlignment="1">
      <alignment horizontal="center" vertical="center" wrapText="1"/>
    </xf>
    <xf numFmtId="2" fontId="76" fillId="0" borderId="21" xfId="0" applyNumberFormat="1" applyFont="1" applyBorder="1" applyAlignment="1">
      <alignment horizontal="center" vertical="center" wrapText="1"/>
    </xf>
    <xf numFmtId="2" fontId="76" fillId="0" borderId="41" xfId="0" applyNumberFormat="1" applyFont="1" applyBorder="1" applyAlignment="1">
      <alignment horizontal="center" vertical="center" wrapText="1"/>
    </xf>
    <xf numFmtId="2" fontId="76" fillId="0" borderId="37" xfId="0" applyNumberFormat="1" applyFont="1" applyBorder="1" applyAlignment="1">
      <alignment horizontal="center" vertical="center" wrapText="1"/>
    </xf>
    <xf numFmtId="0" fontId="76" fillId="0" borderId="21" xfId="0" applyFont="1" applyBorder="1" applyAlignment="1">
      <alignment horizontal="center" vertical="center" wrapText="1"/>
    </xf>
    <xf numFmtId="0" fontId="76" fillId="0" borderId="41" xfId="0" applyFont="1" applyBorder="1" applyAlignment="1">
      <alignment horizontal="center" vertical="center" wrapText="1"/>
    </xf>
    <xf numFmtId="0" fontId="76" fillId="0" borderId="37" xfId="0" applyFont="1" applyBorder="1" applyAlignment="1">
      <alignment horizontal="center" vertical="center" wrapText="1"/>
    </xf>
    <xf numFmtId="0" fontId="76" fillId="0" borderId="0" xfId="133" applyFont="1" applyBorder="1" applyAlignment="1">
      <alignment horizontal="left" vertical="top"/>
    </xf>
    <xf numFmtId="0" fontId="76" fillId="0" borderId="0" xfId="133" applyFont="1" applyBorder="1" applyAlignment="1">
      <alignment horizontal="left" vertical="top" wrapText="1"/>
    </xf>
    <xf numFmtId="2" fontId="76" fillId="0" borderId="30" xfId="0" applyNumberFormat="1" applyFont="1" applyBorder="1" applyAlignment="1">
      <alignment horizontal="center" vertical="center" wrapText="1"/>
    </xf>
    <xf numFmtId="2" fontId="76" fillId="0" borderId="31" xfId="0" applyNumberFormat="1" applyFont="1" applyBorder="1" applyAlignment="1">
      <alignment horizontal="center" vertical="center" wrapText="1"/>
    </xf>
    <xf numFmtId="2" fontId="90" fillId="0" borderId="30" xfId="0" applyNumberFormat="1" applyFont="1" applyBorder="1" applyAlignment="1">
      <alignment horizontal="center" vertical="center" wrapText="1"/>
    </xf>
    <xf numFmtId="2" fontId="90" fillId="0" borderId="31" xfId="0" applyNumberFormat="1" applyFont="1" applyBorder="1" applyAlignment="1">
      <alignment horizontal="center" vertical="center" wrapText="1"/>
    </xf>
    <xf numFmtId="0" fontId="116" fillId="0" borderId="18" xfId="121" applyFont="1" applyBorder="1" applyAlignment="1">
      <alignment vertical="center" wrapText="1"/>
    </xf>
    <xf numFmtId="0" fontId="116" fillId="0" borderId="19" xfId="121" applyFont="1" applyBorder="1" applyAlignment="1">
      <alignment vertical="center" wrapText="1"/>
    </xf>
    <xf numFmtId="0" fontId="115" fillId="0" borderId="48" xfId="121" applyFont="1" applyBorder="1" applyAlignment="1">
      <alignment horizontal="center" vertical="center" wrapText="1"/>
    </xf>
    <xf numFmtId="0" fontId="115" fillId="0" borderId="47" xfId="121" applyFont="1" applyBorder="1" applyAlignment="1">
      <alignment horizontal="center" vertical="center" wrapText="1"/>
    </xf>
    <xf numFmtId="0" fontId="115" fillId="0" borderId="49" xfId="121" applyFont="1" applyBorder="1" applyAlignment="1">
      <alignment horizontal="center" vertical="center" wrapText="1"/>
    </xf>
    <xf numFmtId="0" fontId="76" fillId="0" borderId="18" xfId="121" applyFont="1" applyBorder="1" applyAlignment="1">
      <alignment vertical="center" wrapText="1"/>
    </xf>
    <xf numFmtId="0" fontId="76" fillId="0" borderId="19" xfId="121" applyFont="1" applyBorder="1" applyAlignment="1">
      <alignment vertical="center" wrapText="1"/>
    </xf>
    <xf numFmtId="0" fontId="90" fillId="0" borderId="17" xfId="121" applyFont="1" applyBorder="1" applyAlignment="1">
      <alignment vertical="center" wrapText="1"/>
    </xf>
    <xf numFmtId="0" fontId="90" fillId="0" borderId="18" xfId="121" applyFont="1" applyBorder="1" applyAlignment="1">
      <alignment horizontal="center" vertical="center" wrapText="1"/>
    </xf>
    <xf numFmtId="0" fontId="76" fillId="0" borderId="18" xfId="121" applyFont="1" applyBorder="1" applyAlignment="1">
      <alignment horizontal="center" vertical="center" wrapText="1"/>
    </xf>
    <xf numFmtId="0" fontId="90" fillId="0" borderId="19" xfId="121" applyFont="1" applyBorder="1" applyAlignment="1">
      <alignment horizontal="center" vertical="center" wrapText="1"/>
    </xf>
    <xf numFmtId="0" fontId="116" fillId="0" borderId="18" xfId="121" applyFont="1" applyBorder="1" applyAlignment="1">
      <alignment horizontal="center" vertical="center" wrapText="1"/>
    </xf>
    <xf numFmtId="0" fontId="116" fillId="0" borderId="19" xfId="121" applyFont="1" applyBorder="1" applyAlignment="1">
      <alignment horizontal="center" vertical="center" wrapText="1"/>
    </xf>
    <xf numFmtId="0" fontId="124" fillId="0" borderId="15" xfId="121" applyFont="1" applyBorder="1" applyAlignment="1">
      <alignment vertical="center" wrapText="1"/>
    </xf>
    <xf numFmtId="0" fontId="124" fillId="0" borderId="0" xfId="121" applyFont="1" applyAlignment="1">
      <alignment vertical="center" wrapText="1"/>
    </xf>
    <xf numFmtId="0" fontId="124" fillId="0" borderId="16" xfId="121" applyFont="1" applyBorder="1" applyAlignment="1">
      <alignment vertical="center" wrapText="1"/>
    </xf>
    <xf numFmtId="0" fontId="115" fillId="0" borderId="15" xfId="121" applyFont="1" applyBorder="1" applyAlignment="1">
      <alignment horizontal="center" vertical="center" wrapText="1"/>
    </xf>
    <xf numFmtId="0" fontId="115" fillId="0" borderId="0" xfId="121" applyFont="1" applyAlignment="1">
      <alignment horizontal="center" vertical="center" wrapText="1"/>
    </xf>
    <xf numFmtId="0" fontId="115" fillId="0" borderId="16" xfId="121" applyFont="1" applyBorder="1" applyAlignment="1">
      <alignment horizontal="center" vertical="center" wrapText="1"/>
    </xf>
    <xf numFmtId="0" fontId="58" fillId="0" borderId="25" xfId="0" applyFont="1" applyBorder="1" applyAlignment="1">
      <alignment horizontal="center" vertical="center"/>
    </xf>
    <xf numFmtId="0" fontId="76" fillId="0" borderId="15" xfId="121" applyFont="1" applyBorder="1" applyAlignment="1">
      <alignment horizontal="center" vertical="center" wrapText="1"/>
    </xf>
    <xf numFmtId="0" fontId="76" fillId="0" borderId="0" xfId="121" applyFont="1" applyAlignment="1">
      <alignment horizontal="center" vertical="center" wrapText="1"/>
    </xf>
    <xf numFmtId="0" fontId="76" fillId="0" borderId="16" xfId="121" applyFont="1" applyBorder="1" applyAlignment="1">
      <alignment horizontal="center" vertical="center" wrapText="1"/>
    </xf>
    <xf numFmtId="0" fontId="124" fillId="0" borderId="15" xfId="121" applyFont="1" applyBorder="1" applyAlignment="1">
      <alignment horizontal="left" vertical="center" wrapText="1"/>
    </xf>
    <xf numFmtId="0" fontId="124" fillId="0" borderId="0" xfId="121" applyFont="1" applyAlignment="1">
      <alignment horizontal="left" vertical="center" wrapText="1"/>
    </xf>
    <xf numFmtId="0" fontId="124" fillId="0" borderId="16" xfId="121" applyFont="1" applyBorder="1" applyAlignment="1">
      <alignment horizontal="left" vertical="center" wrapText="1"/>
    </xf>
    <xf numFmtId="0" fontId="94" fillId="0" borderId="18" xfId="0" applyFont="1" applyBorder="1" applyAlignment="1">
      <alignment horizontal="center" vertical="center"/>
    </xf>
    <xf numFmtId="0" fontId="90" fillId="0" borderId="15" xfId="0" applyFont="1" applyBorder="1" applyAlignment="1">
      <alignment horizontal="left" vertical="top" wrapText="1"/>
    </xf>
    <xf numFmtId="0" fontId="76" fillId="0" borderId="0" xfId="0" applyFont="1" applyBorder="1" applyAlignment="1">
      <alignment horizontal="left" vertical="top" wrapText="1"/>
    </xf>
    <xf numFmtId="0" fontId="76" fillId="0" borderId="16" xfId="0" applyFont="1" applyBorder="1" applyAlignment="1">
      <alignment horizontal="left" vertical="top" wrapText="1"/>
    </xf>
    <xf numFmtId="0" fontId="94" fillId="0" borderId="54" xfId="0" applyFont="1" applyBorder="1" applyAlignment="1">
      <alignment horizontal="center" vertical="center"/>
    </xf>
    <xf numFmtId="0" fontId="94" fillId="0" borderId="60" xfId="0" applyFont="1" applyBorder="1" applyAlignment="1">
      <alignment horizontal="center" vertical="center"/>
    </xf>
    <xf numFmtId="0" fontId="75" fillId="0" borderId="15" xfId="0" applyFont="1" applyBorder="1" applyAlignment="1">
      <alignment horizontal="center" vertical="top" wrapText="1"/>
    </xf>
    <xf numFmtId="0" fontId="75" fillId="0" borderId="0" xfId="0" applyFont="1" applyBorder="1" applyAlignment="1">
      <alignment horizontal="center" vertical="top" wrapText="1"/>
    </xf>
    <xf numFmtId="0" fontId="75" fillId="0" borderId="16" xfId="0" applyFont="1" applyBorder="1" applyAlignment="1">
      <alignment horizontal="center" vertical="top" wrapText="1"/>
    </xf>
    <xf numFmtId="0" fontId="75" fillId="0" borderId="24" xfId="0" applyFont="1" applyBorder="1" applyAlignment="1">
      <alignment horizontal="center" vertical="top"/>
    </xf>
    <xf numFmtId="0" fontId="66" fillId="0" borderId="17" xfId="0" applyFont="1" applyBorder="1" applyAlignment="1">
      <alignment horizontal="center" vertical="center" wrapText="1"/>
    </xf>
    <xf numFmtId="0" fontId="66" fillId="0" borderId="30"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39" xfId="0" applyFont="1" applyBorder="1" applyAlignment="1">
      <alignment horizontal="center" vertical="center" wrapText="1"/>
    </xf>
    <xf numFmtId="0" fontId="160" fillId="0" borderId="15" xfId="0" applyFont="1" applyBorder="1" applyAlignment="1">
      <alignment horizontal="center" wrapText="1"/>
    </xf>
    <xf numFmtId="0" fontId="76" fillId="0" borderId="16" xfId="0" applyFont="1" applyBorder="1" applyAlignment="1">
      <alignment horizontal="left" vertical="top"/>
    </xf>
    <xf numFmtId="0" fontId="161" fillId="0" borderId="15" xfId="0" applyFont="1" applyBorder="1" applyAlignment="1">
      <alignment horizontal="left" vertical="top" wrapText="1"/>
    </xf>
    <xf numFmtId="0" fontId="161" fillId="0" borderId="16" xfId="0" applyFont="1" applyBorder="1" applyAlignment="1">
      <alignment horizontal="left" vertical="top" wrapText="1"/>
    </xf>
    <xf numFmtId="0" fontId="161" fillId="0" borderId="15" xfId="0" applyFont="1" applyBorder="1" applyAlignment="1">
      <alignment horizontal="left" vertical="center" wrapText="1"/>
    </xf>
    <xf numFmtId="0" fontId="161" fillId="0" borderId="16" xfId="0" applyFont="1" applyBorder="1" applyAlignment="1">
      <alignment horizontal="left" vertical="center" wrapText="1"/>
    </xf>
    <xf numFmtId="0" fontId="90" fillId="0" borderId="13" xfId="0" applyFont="1" applyBorder="1" applyAlignment="1">
      <alignment horizontal="center" vertical="center" wrapText="1"/>
    </xf>
    <xf numFmtId="0" fontId="90" fillId="0" borderId="14" xfId="0" applyFont="1" applyBorder="1" applyAlignment="1">
      <alignment horizontal="center" vertical="center" wrapText="1"/>
    </xf>
    <xf numFmtId="0" fontId="90" fillId="0" borderId="0" xfId="0" applyFont="1" applyBorder="1" applyAlignment="1">
      <alignment horizontal="center" vertical="center" wrapText="1"/>
    </xf>
    <xf numFmtId="0" fontId="90" fillId="0" borderId="16" xfId="0" applyFont="1" applyBorder="1" applyAlignment="1">
      <alignment horizontal="center" vertical="center" wrapText="1"/>
    </xf>
    <xf numFmtId="0" fontId="90" fillId="0" borderId="15" xfId="121" applyFont="1" applyBorder="1" applyAlignment="1">
      <alignment horizontal="center" vertical="center" wrapText="1"/>
    </xf>
    <xf numFmtId="0" fontId="90" fillId="0" borderId="0" xfId="121" applyFont="1" applyBorder="1" applyAlignment="1">
      <alignment horizontal="center" vertical="center" wrapText="1"/>
    </xf>
    <xf numFmtId="0" fontId="90" fillId="0" borderId="30" xfId="121" applyFont="1" applyBorder="1" applyAlignment="1">
      <alignment horizontal="center" vertical="center" wrapText="1"/>
    </xf>
    <xf numFmtId="0" fontId="90" fillId="0" borderId="17" xfId="121" applyFont="1" applyBorder="1" applyAlignment="1">
      <alignment horizontal="center" vertical="center" wrapText="1"/>
    </xf>
    <xf numFmtId="0" fontId="90" fillId="0" borderId="16" xfId="121" applyFont="1" applyBorder="1" applyAlignment="1">
      <alignment horizontal="center" vertical="center" wrapText="1"/>
    </xf>
    <xf numFmtId="0" fontId="76" fillId="0" borderId="47" xfId="121" applyFont="1" applyBorder="1" applyAlignment="1">
      <alignment horizontal="center" vertical="center" wrapText="1"/>
    </xf>
    <xf numFmtId="0" fontId="76" fillId="0" borderId="49" xfId="121" applyFont="1" applyBorder="1" applyAlignment="1">
      <alignment horizontal="center" vertical="center" wrapText="1"/>
    </xf>
    <xf numFmtId="0" fontId="90" fillId="0" borderId="18" xfId="121" applyFont="1" applyBorder="1" applyAlignment="1">
      <alignment horizontal="left" vertical="center"/>
    </xf>
    <xf numFmtId="0" fontId="90" fillId="0" borderId="30" xfId="121" applyFont="1" applyBorder="1" applyAlignment="1">
      <alignment horizontal="left" vertical="center"/>
    </xf>
    <xf numFmtId="0" fontId="115" fillId="0" borderId="18" xfId="121" applyFont="1" applyBorder="1" applyAlignment="1">
      <alignment horizontal="left" vertical="center"/>
    </xf>
    <xf numFmtId="0" fontId="115" fillId="0" borderId="30" xfId="121" applyFont="1" applyBorder="1" applyAlignment="1">
      <alignment horizontal="left" vertical="center"/>
    </xf>
    <xf numFmtId="0" fontId="76" fillId="0" borderId="0" xfId="121" applyFont="1" applyBorder="1" applyAlignment="1">
      <alignment horizontal="center" vertical="center" wrapText="1"/>
    </xf>
    <xf numFmtId="0" fontId="76" fillId="0" borderId="0" xfId="121" applyFont="1" applyBorder="1" applyAlignment="1">
      <alignment horizontal="left" vertical="center" wrapText="1"/>
    </xf>
    <xf numFmtId="0" fontId="76" fillId="0" borderId="16" xfId="121" applyFont="1" applyBorder="1" applyAlignment="1">
      <alignment horizontal="left" vertical="center" wrapText="1"/>
    </xf>
    <xf numFmtId="3" fontId="90" fillId="0" borderId="30" xfId="0" applyNumberFormat="1" applyFont="1" applyBorder="1" applyAlignment="1">
      <alignment horizontal="center" vertical="top"/>
    </xf>
    <xf numFmtId="0" fontId="90" fillId="0" borderId="31" xfId="0" applyFont="1" applyBorder="1" applyAlignment="1">
      <alignment horizontal="center" vertical="top"/>
    </xf>
    <xf numFmtId="4" fontId="90" fillId="0" borderId="30" xfId="0" applyNumberFormat="1" applyFont="1" applyBorder="1" applyAlignment="1">
      <alignment horizontal="center" vertical="top"/>
    </xf>
    <xf numFmtId="0" fontId="90" fillId="0" borderId="39" xfId="0" applyFont="1" applyBorder="1" applyAlignment="1">
      <alignment horizontal="center" vertical="top"/>
    </xf>
    <xf numFmtId="0" fontId="90" fillId="0" borderId="30" xfId="0" applyFont="1" applyBorder="1" applyAlignment="1">
      <alignment horizontal="center" vertical="top"/>
    </xf>
    <xf numFmtId="0" fontId="76" fillId="0" borderId="30" xfId="0" applyFont="1" applyBorder="1" applyAlignment="1">
      <alignment horizontal="center" vertical="center"/>
    </xf>
    <xf numFmtId="0" fontId="76" fillId="0" borderId="31" xfId="0" applyFont="1" applyBorder="1" applyAlignment="1">
      <alignment horizontal="center" vertical="center"/>
    </xf>
    <xf numFmtId="3" fontId="76" fillId="0" borderId="30" xfId="0" applyNumberFormat="1" applyFont="1" applyBorder="1" applyAlignment="1">
      <alignment horizontal="center" vertical="top"/>
    </xf>
    <xf numFmtId="3" fontId="76" fillId="0" borderId="31" xfId="0" applyNumberFormat="1" applyFont="1" applyBorder="1" applyAlignment="1">
      <alignment horizontal="center" vertical="top"/>
    </xf>
    <xf numFmtId="0" fontId="76" fillId="0" borderId="30" xfId="0" applyFont="1" applyBorder="1" applyAlignment="1">
      <alignment horizontal="center" vertical="top"/>
    </xf>
    <xf numFmtId="0" fontId="76" fillId="0" borderId="31" xfId="0" applyFont="1" applyBorder="1" applyAlignment="1">
      <alignment horizontal="center" vertical="top"/>
    </xf>
    <xf numFmtId="3" fontId="90" fillId="0" borderId="18" xfId="0" applyNumberFormat="1" applyFont="1" applyBorder="1" applyAlignment="1">
      <alignment horizontal="center" vertical="center"/>
    </xf>
    <xf numFmtId="0" fontId="76" fillId="0" borderId="39" xfId="0" applyFont="1" applyBorder="1" applyAlignment="1">
      <alignment horizontal="center" vertical="top"/>
    </xf>
    <xf numFmtId="0" fontId="90" fillId="0" borderId="15" xfId="0" applyFont="1" applyBorder="1" applyAlignment="1">
      <alignment horizontal="center" vertical="top"/>
    </xf>
    <xf numFmtId="0" fontId="90" fillId="0" borderId="0" xfId="0" applyFont="1" applyBorder="1" applyAlignment="1">
      <alignment horizontal="center" vertical="top"/>
    </xf>
    <xf numFmtId="0" fontId="90" fillId="0" borderId="16" xfId="0" applyFont="1" applyBorder="1" applyAlignment="1">
      <alignment horizontal="center" vertical="top"/>
    </xf>
    <xf numFmtId="0" fontId="90" fillId="0" borderId="18" xfId="0" applyFont="1" applyBorder="1" applyAlignment="1">
      <alignment horizontal="center" vertical="top"/>
    </xf>
    <xf numFmtId="0" fontId="90" fillId="0" borderId="19" xfId="0" applyFont="1" applyBorder="1" applyAlignment="1">
      <alignment horizontal="center" vertical="top"/>
    </xf>
    <xf numFmtId="0" fontId="76" fillId="0" borderId="22" xfId="0" applyFont="1" applyBorder="1" applyAlignment="1">
      <alignment horizontal="center" vertical="center"/>
    </xf>
    <xf numFmtId="0" fontId="76" fillId="0" borderId="72" xfId="0" applyFont="1" applyBorder="1" applyAlignment="1">
      <alignment horizontal="center" vertical="center"/>
    </xf>
    <xf numFmtId="0" fontId="76" fillId="0" borderId="40" xfId="0" applyFont="1" applyBorder="1" applyAlignment="1">
      <alignment horizontal="center" vertical="center"/>
    </xf>
    <xf numFmtId="0" fontId="76" fillId="0" borderId="15" xfId="0" applyFont="1" applyBorder="1" applyAlignment="1">
      <alignment horizontal="left" vertical="top" wrapText="1"/>
    </xf>
    <xf numFmtId="0" fontId="58" fillId="0" borderId="0" xfId="0" applyFont="1" applyBorder="1" applyAlignment="1">
      <alignment horizontal="center" vertical="top" wrapText="1"/>
    </xf>
    <xf numFmtId="0" fontId="76" fillId="0" borderId="15" xfId="0" applyFont="1" applyBorder="1" applyAlignment="1">
      <alignment horizontal="left" vertical="top"/>
    </xf>
    <xf numFmtId="0" fontId="76" fillId="0" borderId="0" xfId="0" applyFont="1" applyBorder="1" applyAlignment="1">
      <alignment horizontal="left" vertical="top"/>
    </xf>
    <xf numFmtId="0" fontId="90" fillId="0" borderId="5" xfId="0" applyFont="1" applyBorder="1" applyAlignment="1">
      <alignment horizontal="center" vertical="center" wrapText="1"/>
    </xf>
    <xf numFmtId="0" fontId="90" fillId="0" borderId="6" xfId="0" applyFont="1" applyBorder="1" applyAlignment="1">
      <alignment horizontal="center" vertical="center" wrapText="1"/>
    </xf>
    <xf numFmtId="0" fontId="90" fillId="0" borderId="79" xfId="0" applyFont="1" applyBorder="1" applyAlignment="1">
      <alignment horizontal="center" vertical="center" wrapText="1"/>
    </xf>
    <xf numFmtId="0" fontId="90" fillId="0" borderId="46" xfId="137" applyFont="1" applyBorder="1" applyAlignment="1">
      <alignment horizontal="center" vertical="center" wrapText="1"/>
    </xf>
    <xf numFmtId="0" fontId="90" fillId="0" borderId="79" xfId="137" applyFont="1" applyBorder="1" applyAlignment="1">
      <alignment horizontal="center" vertical="center" wrapText="1"/>
    </xf>
    <xf numFmtId="0" fontId="56" fillId="0" borderId="82" xfId="0" applyFont="1" applyBorder="1" applyAlignment="1">
      <alignment horizontal="center" vertical="top"/>
    </xf>
    <xf numFmtId="0" fontId="56" fillId="0" borderId="87" xfId="0" applyFont="1" applyBorder="1" applyAlignment="1">
      <alignment horizontal="center" vertical="top"/>
    </xf>
    <xf numFmtId="0" fontId="154" fillId="0" borderId="15" xfId="0" applyFont="1" applyFill="1" applyBorder="1" applyAlignment="1">
      <alignment horizontal="left" vertical="top" wrapText="1"/>
    </xf>
    <xf numFmtId="0" fontId="154" fillId="0" borderId="0" xfId="0" applyFont="1" applyFill="1" applyBorder="1" applyAlignment="1">
      <alignment horizontal="left" vertical="top" wrapText="1"/>
    </xf>
    <xf numFmtId="0" fontId="154" fillId="0" borderId="16" xfId="0" applyFont="1" applyFill="1" applyBorder="1" applyAlignment="1">
      <alignment horizontal="left" vertical="top" wrapText="1"/>
    </xf>
    <xf numFmtId="0" fontId="90" fillId="0" borderId="13" xfId="0" applyFont="1" applyFill="1" applyBorder="1" applyAlignment="1">
      <alignment horizontal="center" vertical="top"/>
    </xf>
    <xf numFmtId="0" fontId="150" fillId="0" borderId="15" xfId="0" applyFont="1" applyFill="1" applyBorder="1" applyAlignment="1">
      <alignment horizontal="left" vertical="top" wrapText="1"/>
    </xf>
    <xf numFmtId="0" fontId="150" fillId="0" borderId="0" xfId="0" applyFont="1" applyFill="1" applyBorder="1" applyAlignment="1">
      <alignment horizontal="left" vertical="top" wrapText="1"/>
    </xf>
    <xf numFmtId="0" fontId="73" fillId="0" borderId="82" xfId="0" applyFont="1" applyFill="1" applyBorder="1" applyAlignment="1">
      <alignment horizontal="center" vertical="top"/>
    </xf>
    <xf numFmtId="0" fontId="73" fillId="0" borderId="87" xfId="0" applyFont="1" applyFill="1" applyBorder="1" applyAlignment="1">
      <alignment horizontal="center" vertical="top"/>
    </xf>
    <xf numFmtId="0" fontId="0" fillId="0" borderId="86" xfId="0" applyFill="1" applyBorder="1" applyAlignment="1">
      <alignment horizontal="center" vertical="center" wrapText="1"/>
    </xf>
    <xf numFmtId="0" fontId="0" fillId="0" borderId="89" xfId="0" applyFill="1" applyBorder="1" applyAlignment="1">
      <alignment horizontal="center" vertical="center" wrapText="1"/>
    </xf>
    <xf numFmtId="0" fontId="151" fillId="0" borderId="71" xfId="0" applyFont="1" applyFill="1" applyBorder="1" applyAlignment="1">
      <alignment horizontal="center" vertical="center" wrapText="1"/>
    </xf>
    <xf numFmtId="0" fontId="151" fillId="0" borderId="43" xfId="0" applyFont="1" applyFill="1" applyBorder="1" applyAlignment="1">
      <alignment horizontal="center" vertical="center" wrapText="1"/>
    </xf>
    <xf numFmtId="0" fontId="151" fillId="0" borderId="7" xfId="0" applyFont="1" applyFill="1" applyBorder="1" applyAlignment="1">
      <alignment horizontal="center" vertical="center" wrapText="1"/>
    </xf>
    <xf numFmtId="0" fontId="151" fillId="0" borderId="11" xfId="0" applyFont="1" applyFill="1" applyBorder="1" applyAlignment="1">
      <alignment horizontal="center" vertical="center" wrapText="1"/>
    </xf>
    <xf numFmtId="0" fontId="151" fillId="0" borderId="2" xfId="0" applyFont="1" applyFill="1" applyBorder="1" applyAlignment="1">
      <alignment horizontal="center" vertical="center" wrapText="1"/>
    </xf>
    <xf numFmtId="0" fontId="151" fillId="0" borderId="3" xfId="0" applyFont="1" applyFill="1" applyBorder="1" applyAlignment="1">
      <alignment horizontal="center" vertical="center" wrapText="1"/>
    </xf>
    <xf numFmtId="0" fontId="151" fillId="0" borderId="4"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16" xfId="0" applyFont="1" applyFill="1" applyBorder="1" applyAlignment="1">
      <alignment horizontal="center" vertical="center"/>
    </xf>
    <xf numFmtId="0" fontId="90" fillId="0" borderId="24" xfId="0" applyFont="1" applyFill="1" applyBorder="1" applyAlignment="1">
      <alignment horizontal="center" vertical="center"/>
    </xf>
    <xf numFmtId="0" fontId="90" fillId="0" borderId="25" xfId="0" applyFont="1" applyFill="1" applyBorder="1" applyAlignment="1">
      <alignment horizontal="center" vertical="center"/>
    </xf>
    <xf numFmtId="0" fontId="116" fillId="0" borderId="47" xfId="125" applyFont="1" applyBorder="1" applyAlignment="1">
      <alignment horizontal="left"/>
    </xf>
    <xf numFmtId="0" fontId="115" fillId="0" borderId="15" xfId="125" applyFont="1" applyBorder="1" applyAlignment="1">
      <alignment horizontal="center"/>
    </xf>
    <xf numFmtId="0" fontId="115" fillId="0" borderId="0" xfId="125" applyFont="1" applyBorder="1" applyAlignment="1">
      <alignment horizontal="center"/>
    </xf>
    <xf numFmtId="0" fontId="115" fillId="0" borderId="16" xfId="125" applyFont="1" applyBorder="1" applyAlignment="1">
      <alignment horizontal="center"/>
    </xf>
    <xf numFmtId="0" fontId="116" fillId="0" borderId="0" xfId="125" applyFont="1" applyBorder="1" applyAlignment="1">
      <alignment horizontal="left"/>
    </xf>
    <xf numFmtId="0" fontId="116" fillId="0" borderId="16" xfId="125" applyFont="1" applyBorder="1" applyAlignment="1">
      <alignment horizontal="left"/>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3" fillId="0" borderId="7" xfId="0" applyFont="1" applyBorder="1" applyAlignment="1">
      <alignment horizontal="left" vertical="top" wrapText="1"/>
    </xf>
    <xf numFmtId="0" fontId="23" fillId="0" borderId="11" xfId="0" applyFont="1" applyBorder="1" applyAlignment="1">
      <alignment horizontal="left" vertical="top" wrapText="1"/>
    </xf>
    <xf numFmtId="0" fontId="23" fillId="0" borderId="5" xfId="0" applyFont="1" applyBorder="1" applyAlignment="1">
      <alignment horizontal="center" vertical="top" wrapText="1"/>
    </xf>
    <xf numFmtId="0" fontId="23" fillId="0" borderId="8" xfId="0" applyFont="1" applyBorder="1" applyAlignment="1">
      <alignment horizontal="center" vertical="top" wrapText="1"/>
    </xf>
    <xf numFmtId="0" fontId="23" fillId="0" borderId="9" xfId="0" applyFont="1" applyBorder="1" applyAlignment="1">
      <alignment horizontal="center" vertical="top" wrapText="1"/>
    </xf>
    <xf numFmtId="0" fontId="23" fillId="0" borderId="10" xfId="0" applyFont="1" applyBorder="1" applyAlignment="1">
      <alignment horizontal="center" vertical="top" wrapText="1"/>
    </xf>
    <xf numFmtId="0" fontId="23" fillId="0" borderId="2" xfId="0" applyFont="1" applyBorder="1" applyAlignment="1">
      <alignment horizontal="left" vertical="top" wrapText="1" indent="1"/>
    </xf>
    <xf numFmtId="0" fontId="23" fillId="0" borderId="4" xfId="0" applyFont="1" applyBorder="1" applyAlignment="1">
      <alignment horizontal="left" vertical="top" wrapText="1" indent="1"/>
    </xf>
    <xf numFmtId="0" fontId="0" fillId="0" borderId="7" xfId="0" applyBorder="1" applyAlignment="1">
      <alignment horizontal="center" vertical="top" wrapText="1"/>
    </xf>
    <xf numFmtId="0" fontId="0" fillId="0" borderId="11" xfId="0" applyBorder="1" applyAlignment="1">
      <alignment horizontal="center" vertical="top" wrapText="1"/>
    </xf>
    <xf numFmtId="167" fontId="27" fillId="0" borderId="2" xfId="0" applyNumberFormat="1" applyFont="1" applyBorder="1" applyAlignment="1">
      <alignment horizontal="center" vertical="top" shrinkToFit="1"/>
    </xf>
    <xf numFmtId="167" fontId="27" fillId="0" borderId="4" xfId="0" applyNumberFormat="1" applyFont="1" applyBorder="1" applyAlignment="1">
      <alignment horizontal="center" vertical="top" shrinkToFi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9" fillId="0" borderId="2" xfId="0" applyFont="1" applyBorder="1" applyAlignment="1">
      <alignment horizontal="left" vertical="top" wrapText="1"/>
    </xf>
    <xf numFmtId="0" fontId="29" fillId="0" borderId="4" xfId="0" applyFont="1" applyBorder="1" applyAlignment="1">
      <alignment horizontal="left" vertical="top" wrapText="1"/>
    </xf>
    <xf numFmtId="0" fontId="0" fillId="0" borderId="2" xfId="0" applyBorder="1" applyAlignment="1">
      <alignment horizontal="left" wrapText="1"/>
    </xf>
    <xf numFmtId="0" fontId="0" fillId="0" borderId="4" xfId="0" applyBorder="1" applyAlignment="1">
      <alignment horizontal="left" wrapText="1"/>
    </xf>
    <xf numFmtId="0" fontId="29" fillId="0" borderId="5" xfId="0" applyFont="1" applyBorder="1" applyAlignment="1">
      <alignment horizontal="left" vertical="center" wrapText="1" indent="3"/>
    </xf>
    <xf numFmtId="0" fontId="29" fillId="0" borderId="6" xfId="0" applyFont="1" applyBorder="1" applyAlignment="1">
      <alignment horizontal="left" vertical="center" wrapText="1" indent="3"/>
    </xf>
    <xf numFmtId="0" fontId="29" fillId="0" borderId="8" xfId="0" applyFont="1" applyBorder="1" applyAlignment="1">
      <alignment horizontal="left" vertical="center" wrapText="1" indent="3"/>
    </xf>
    <xf numFmtId="0" fontId="0" fillId="0" borderId="7" xfId="0" applyBorder="1" applyAlignment="1">
      <alignment horizontal="left" vertical="top" wrapText="1"/>
    </xf>
    <xf numFmtId="0" fontId="0" fillId="0" borderId="11" xfId="0" applyBorder="1" applyAlignment="1">
      <alignment horizontal="left" vertical="top" wrapText="1"/>
    </xf>
    <xf numFmtId="0" fontId="34" fillId="0" borderId="5" xfId="0" applyFont="1" applyBorder="1" applyAlignment="1">
      <alignment horizontal="left" vertical="center" wrapText="1" indent="3"/>
    </xf>
    <xf numFmtId="0" fontId="34" fillId="0" borderId="6" xfId="0" applyFont="1" applyBorder="1" applyAlignment="1">
      <alignment horizontal="left" vertical="center" wrapText="1" indent="3"/>
    </xf>
    <xf numFmtId="0" fontId="34" fillId="0" borderId="8" xfId="0" applyFont="1" applyBorder="1" applyAlignment="1">
      <alignment horizontal="left" vertical="center" wrapText="1" indent="3"/>
    </xf>
    <xf numFmtId="0" fontId="31" fillId="0" borderId="7" xfId="0" applyFont="1" applyBorder="1" applyAlignment="1">
      <alignment horizontal="left" vertical="top" wrapText="1"/>
    </xf>
    <xf numFmtId="0" fontId="31" fillId="0" borderId="11" xfId="0" applyFont="1" applyBorder="1" applyAlignment="1">
      <alignment horizontal="left" vertical="top" wrapText="1"/>
    </xf>
    <xf numFmtId="0" fontId="31" fillId="0" borderId="7" xfId="0" applyFont="1" applyBorder="1" applyAlignment="1">
      <alignment horizontal="center" vertical="top" wrapText="1"/>
    </xf>
    <xf numFmtId="0" fontId="31" fillId="0" borderId="11" xfId="0" applyFont="1" applyBorder="1" applyAlignment="1">
      <alignment horizontal="center" vertical="top" wrapText="1"/>
    </xf>
    <xf numFmtId="0" fontId="31" fillId="0" borderId="2" xfId="0" applyFont="1" applyBorder="1" applyAlignment="1">
      <alignment horizontal="left" vertical="top" wrapText="1" indent="1"/>
    </xf>
    <xf numFmtId="0" fontId="31" fillId="0" borderId="4" xfId="0" applyFont="1" applyBorder="1" applyAlignment="1">
      <alignment horizontal="left" vertical="top" wrapText="1" inden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1" fillId="2" borderId="3" xfId="0" applyFont="1" applyFill="1" applyBorder="1" applyAlignment="1">
      <alignment horizontal="left" vertical="center" wrapText="1" indent="5"/>
    </xf>
    <xf numFmtId="0" fontId="31" fillId="2" borderId="4" xfId="0" applyFont="1" applyFill="1" applyBorder="1" applyAlignment="1">
      <alignment horizontal="left" vertical="center" wrapText="1" indent="5"/>
    </xf>
    <xf numFmtId="0" fontId="18" fillId="0" borderId="2" xfId="0" applyFont="1" applyBorder="1" applyAlignment="1">
      <alignment horizontal="left" vertical="top" wrapText="1" indent="6"/>
    </xf>
    <xf numFmtId="0" fontId="18" fillId="0" borderId="3" xfId="0" applyFont="1" applyBorder="1" applyAlignment="1">
      <alignment horizontal="left" vertical="top" wrapText="1" indent="6"/>
    </xf>
    <xf numFmtId="0" fontId="18" fillId="0" borderId="4" xfId="0" applyFont="1" applyBorder="1" applyAlignment="1">
      <alignment horizontal="left" vertical="top" wrapText="1" indent="6"/>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1" fontId="20" fillId="0" borderId="2" xfId="0" applyNumberFormat="1" applyFont="1" applyBorder="1" applyAlignment="1">
      <alignment horizontal="center" vertical="top" shrinkToFit="1"/>
    </xf>
    <xf numFmtId="1" fontId="20" fillId="0" borderId="3" xfId="0" applyNumberFormat="1" applyFont="1" applyBorder="1" applyAlignment="1">
      <alignment horizontal="center" vertical="top" shrinkToFit="1"/>
    </xf>
    <xf numFmtId="1" fontId="20" fillId="0" borderId="4" xfId="0" applyNumberFormat="1" applyFont="1" applyBorder="1" applyAlignment="1">
      <alignment horizontal="center" vertical="top" shrinkToFi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0" fillId="0" borderId="4" xfId="0" applyBorder="1" applyAlignment="1">
      <alignment horizontal="left" vertical="center" wrapText="1"/>
    </xf>
    <xf numFmtId="0" fontId="0" fillId="0" borderId="3" xfId="0" applyBorder="1" applyAlignment="1">
      <alignment horizontal="left" wrapText="1"/>
    </xf>
    <xf numFmtId="0" fontId="0" fillId="0" borderId="57" xfId="0" applyBorder="1" applyAlignment="1">
      <alignment horizontal="left" vertical="top" wrapText="1"/>
    </xf>
    <xf numFmtId="0" fontId="0" fillId="0" borderId="6" xfId="0" applyBorder="1" applyAlignment="1">
      <alignment horizontal="left" vertical="top" wrapText="1"/>
    </xf>
    <xf numFmtId="0" fontId="0" fillId="0" borderId="58" xfId="0" applyBorder="1" applyAlignment="1">
      <alignment horizontal="left" vertical="top" wrapText="1"/>
    </xf>
    <xf numFmtId="0" fontId="74" fillId="0" borderId="2" xfId="0" applyFont="1" applyBorder="1" applyAlignment="1">
      <alignment horizontal="center" wrapText="1"/>
    </xf>
    <xf numFmtId="0" fontId="74" fillId="0" borderId="4" xfId="0" applyFont="1" applyBorder="1" applyAlignment="1">
      <alignment horizontal="center" wrapText="1"/>
    </xf>
    <xf numFmtId="0" fontId="90" fillId="0" borderId="0" xfId="121" applyFont="1" applyBorder="1" applyAlignment="1">
      <alignment horizontal="left" vertical="center"/>
    </xf>
    <xf numFmtId="0" fontId="90" fillId="0" borderId="16" xfId="121" applyFont="1" applyBorder="1" applyAlignment="1">
      <alignment horizontal="left" vertical="center"/>
    </xf>
    <xf numFmtId="0" fontId="116" fillId="0" borderId="19" xfId="121" applyFont="1" applyFill="1" applyBorder="1" applyAlignment="1">
      <alignment horizontal="center" vertical="center" wrapText="1"/>
    </xf>
    <xf numFmtId="0" fontId="90" fillId="0" borderId="21" xfId="121" applyFont="1" applyFill="1" applyBorder="1" applyAlignment="1">
      <alignment horizontal="center" vertical="center" wrapText="1"/>
    </xf>
    <xf numFmtId="0" fontId="90" fillId="0" borderId="37" xfId="121" applyFont="1" applyFill="1" applyBorder="1" applyAlignment="1">
      <alignment horizontal="center" vertical="center" wrapText="1"/>
    </xf>
    <xf numFmtId="0" fontId="90" fillId="0" borderId="18" xfId="121" applyFont="1" applyFill="1" applyBorder="1" applyAlignment="1">
      <alignment horizontal="center" vertical="center" wrapText="1"/>
    </xf>
    <xf numFmtId="0" fontId="116" fillId="0" borderId="21" xfId="121" applyFont="1" applyFill="1" applyBorder="1" applyAlignment="1">
      <alignment horizontal="center" vertical="center" wrapText="1"/>
    </xf>
    <xf numFmtId="0" fontId="116" fillId="0" borderId="37" xfId="121" applyFont="1" applyFill="1" applyBorder="1" applyAlignment="1">
      <alignment horizontal="center" vertical="center" wrapText="1"/>
    </xf>
    <xf numFmtId="0" fontId="116" fillId="0" borderId="30" xfId="121" applyFont="1" applyFill="1" applyBorder="1" applyAlignment="1">
      <alignment horizontal="center" vertical="center" wrapText="1"/>
    </xf>
    <xf numFmtId="0" fontId="116" fillId="0" borderId="18" xfId="121" applyFont="1" applyFill="1" applyBorder="1" applyAlignment="1">
      <alignment horizontal="center" vertical="center" wrapText="1"/>
    </xf>
    <xf numFmtId="0" fontId="76" fillId="0" borderId="47" xfId="121" applyFont="1" applyBorder="1" applyAlignment="1">
      <alignment horizontal="right" wrapText="1"/>
    </xf>
    <xf numFmtId="0" fontId="76" fillId="0" borderId="49" xfId="121" applyFont="1" applyBorder="1" applyAlignment="1">
      <alignment horizontal="right" wrapText="1"/>
    </xf>
    <xf numFmtId="0" fontId="90" fillId="0" borderId="15" xfId="121" applyFont="1" applyBorder="1" applyAlignment="1">
      <alignment vertical="center" wrapText="1"/>
    </xf>
    <xf numFmtId="0" fontId="90" fillId="0" borderId="0" xfId="121" applyFont="1" applyBorder="1" applyAlignment="1">
      <alignment vertical="center" wrapText="1"/>
    </xf>
    <xf numFmtId="0" fontId="76" fillId="0" borderId="0" xfId="121" applyFont="1" applyBorder="1" applyAlignment="1">
      <alignment vertical="center" wrapText="1"/>
    </xf>
    <xf numFmtId="2" fontId="90" fillId="0" borderId="30" xfId="121" applyNumberFormat="1" applyFont="1" applyFill="1" applyBorder="1" applyAlignment="1">
      <alignment horizontal="center" vertical="center" wrapText="1"/>
    </xf>
    <xf numFmtId="2" fontId="90" fillId="0" borderId="31" xfId="121" applyNumberFormat="1" applyFont="1" applyFill="1" applyBorder="1" applyAlignment="1">
      <alignment horizontal="center" vertical="center" wrapText="1"/>
    </xf>
    <xf numFmtId="0" fontId="90" fillId="0" borderId="12" xfId="0" applyFont="1" applyBorder="1" applyAlignment="1">
      <alignment horizontal="right" vertical="center"/>
    </xf>
    <xf numFmtId="0" fontId="90" fillId="0" borderId="13" xfId="0" applyFont="1" applyBorder="1" applyAlignment="1">
      <alignment horizontal="right" vertical="center"/>
    </xf>
    <xf numFmtId="0" fontId="90" fillId="0" borderId="14" xfId="0" applyFont="1" applyBorder="1" applyAlignment="1">
      <alignment horizontal="right" vertical="center"/>
    </xf>
    <xf numFmtId="0" fontId="90" fillId="0" borderId="15" xfId="0" applyFont="1" applyBorder="1" applyAlignment="1">
      <alignment horizontal="right" vertical="center"/>
    </xf>
    <xf numFmtId="0" fontId="90" fillId="0" borderId="0" xfId="0" applyFont="1" applyBorder="1" applyAlignment="1">
      <alignment horizontal="right" vertical="center"/>
    </xf>
    <xf numFmtId="0" fontId="90" fillId="0" borderId="16" xfId="0" applyFont="1" applyBorder="1" applyAlignment="1">
      <alignment horizontal="right" vertical="center"/>
    </xf>
    <xf numFmtId="0" fontId="76" fillId="0" borderId="15" xfId="0" applyFont="1" applyBorder="1" applyAlignment="1">
      <alignment horizontal="left" vertical="center" wrapText="1"/>
    </xf>
    <xf numFmtId="0" fontId="76" fillId="0" borderId="0" xfId="0" applyFont="1" applyBorder="1" applyAlignment="1">
      <alignment horizontal="left" vertical="center" wrapText="1"/>
    </xf>
    <xf numFmtId="0" fontId="76" fillId="0" borderId="16" xfId="0" applyFont="1" applyBorder="1" applyAlignment="1">
      <alignment horizontal="left" vertical="center" wrapText="1"/>
    </xf>
    <xf numFmtId="0" fontId="76" fillId="0" borderId="18" xfId="0" applyFont="1" applyBorder="1" applyAlignment="1">
      <alignment horizontal="center" vertical="center" wrapText="1"/>
    </xf>
    <xf numFmtId="0" fontId="90" fillId="0" borderId="20" xfId="0" applyFont="1" applyBorder="1" applyAlignment="1">
      <alignment horizontal="center" vertical="center" wrapText="1"/>
    </xf>
    <xf numFmtId="0" fontId="90" fillId="0" borderId="36" xfId="0" applyFont="1" applyBorder="1" applyAlignment="1">
      <alignment horizontal="center" vertical="center" wrapText="1"/>
    </xf>
    <xf numFmtId="0" fontId="115" fillId="0" borderId="15" xfId="0" applyFont="1" applyBorder="1" applyAlignment="1">
      <alignment horizontal="center" vertical="center" wrapText="1"/>
    </xf>
    <xf numFmtId="0" fontId="115" fillId="0" borderId="0" xfId="0" applyFont="1" applyBorder="1" applyAlignment="1">
      <alignment horizontal="center" vertical="center" wrapText="1"/>
    </xf>
    <xf numFmtId="0" fontId="115" fillId="0" borderId="16" xfId="0" applyFont="1" applyBorder="1" applyAlignment="1">
      <alignment horizontal="center" vertical="center" wrapText="1"/>
    </xf>
    <xf numFmtId="0" fontId="128" fillId="0" borderId="15" xfId="125" applyFont="1" applyBorder="1" applyAlignment="1">
      <alignment horizontal="center" vertical="center"/>
    </xf>
    <xf numFmtId="0" fontId="128" fillId="0" borderId="0" xfId="125" applyFont="1" applyBorder="1" applyAlignment="1">
      <alignment horizontal="center" vertical="center"/>
    </xf>
    <xf numFmtId="0" fontId="128" fillId="0" borderId="16" xfId="125" applyFont="1" applyBorder="1" applyAlignment="1">
      <alignment horizontal="center" vertical="center"/>
    </xf>
    <xf numFmtId="0" fontId="116" fillId="0" borderId="47" xfId="125" applyFont="1" applyBorder="1" applyAlignment="1">
      <alignment horizontal="left" vertical="center"/>
    </xf>
    <xf numFmtId="0" fontId="116" fillId="0" borderId="49" xfId="125" applyFont="1" applyBorder="1" applyAlignment="1">
      <alignment horizontal="left" vertical="center"/>
    </xf>
    <xf numFmtId="0" fontId="116" fillId="0" borderId="0" xfId="125" applyFont="1" applyBorder="1" applyAlignment="1">
      <alignment horizontal="left" vertical="center"/>
    </xf>
    <xf numFmtId="0" fontId="116" fillId="0" borderId="16" xfId="125" applyFont="1" applyBorder="1" applyAlignment="1">
      <alignment horizontal="left" vertical="center"/>
    </xf>
    <xf numFmtId="0" fontId="77" fillId="0" borderId="13" xfId="0" applyFont="1" applyBorder="1" applyAlignment="1">
      <alignment horizontal="center" vertical="center"/>
    </xf>
    <xf numFmtId="0" fontId="77" fillId="0" borderId="14" xfId="0" applyFont="1" applyBorder="1" applyAlignment="1">
      <alignment horizontal="center" vertical="center"/>
    </xf>
    <xf numFmtId="0" fontId="77" fillId="0" borderId="0" xfId="0" applyFont="1" applyBorder="1" applyAlignment="1">
      <alignment horizontal="center" vertical="center"/>
    </xf>
    <xf numFmtId="0" fontId="77" fillId="0" borderId="16" xfId="0" applyFont="1" applyBorder="1" applyAlignment="1">
      <alignment horizontal="center" vertical="center"/>
    </xf>
    <xf numFmtId="167" fontId="58" fillId="0" borderId="21" xfId="1" applyNumberFormat="1" applyFont="1" applyBorder="1" applyAlignment="1">
      <alignment horizontal="center" vertical="center"/>
    </xf>
    <xf numFmtId="167" fontId="58" fillId="0" borderId="37" xfId="1" applyNumberFormat="1" applyFont="1" applyBorder="1" applyAlignment="1">
      <alignment horizontal="center" vertical="center"/>
    </xf>
    <xf numFmtId="167" fontId="58" fillId="0" borderId="19" xfId="1" applyNumberFormat="1" applyFont="1" applyBorder="1" applyAlignment="1">
      <alignment horizontal="center" vertical="center"/>
    </xf>
    <xf numFmtId="0" fontId="122" fillId="0" borderId="15" xfId="1" applyFont="1" applyBorder="1" applyAlignment="1">
      <alignment horizontal="center" vertical="center"/>
    </xf>
    <xf numFmtId="0" fontId="122" fillId="0" borderId="0" xfId="1" applyFont="1" applyBorder="1" applyAlignment="1">
      <alignment horizontal="center" vertical="center"/>
    </xf>
    <xf numFmtId="0" fontId="122" fillId="0" borderId="16" xfId="1" applyFont="1" applyBorder="1" applyAlignment="1">
      <alignment horizontal="center" vertical="center"/>
    </xf>
    <xf numFmtId="0" fontId="125" fillId="0" borderId="47" xfId="1" applyFont="1" applyBorder="1" applyAlignment="1">
      <alignment horizontal="right" vertical="center"/>
    </xf>
    <xf numFmtId="0" fontId="125" fillId="0" borderId="49" xfId="1" applyFont="1" applyBorder="1" applyAlignment="1">
      <alignment horizontal="right" vertical="center"/>
    </xf>
    <xf numFmtId="2" fontId="58" fillId="0" borderId="0" xfId="1" applyNumberFormat="1" applyFont="1" applyBorder="1" applyAlignment="1">
      <alignment horizontal="left" vertical="center"/>
    </xf>
    <xf numFmtId="2" fontId="58" fillId="0" borderId="16" xfId="1" applyNumberFormat="1" applyFont="1" applyBorder="1" applyAlignment="1">
      <alignment horizontal="left" vertical="center"/>
    </xf>
    <xf numFmtId="0" fontId="58" fillId="0" borderId="20" xfId="1" applyFont="1" applyBorder="1" applyAlignment="1">
      <alignment horizontal="center" vertical="center" wrapText="1"/>
    </xf>
    <xf numFmtId="0" fontId="58" fillId="0" borderId="90" xfId="1" applyFont="1" applyBorder="1" applyAlignment="1">
      <alignment horizontal="center" vertical="center" wrapText="1"/>
    </xf>
    <xf numFmtId="0" fontId="58" fillId="0" borderId="36" xfId="1" applyFont="1" applyBorder="1" applyAlignment="1">
      <alignment horizontal="center" vertical="center" wrapText="1"/>
    </xf>
    <xf numFmtId="0" fontId="90" fillId="0" borderId="15" xfId="0" applyFont="1" applyBorder="1" applyAlignment="1">
      <alignment horizontal="center" vertical="top" wrapText="1"/>
    </xf>
    <xf numFmtId="0" fontId="90" fillId="0" borderId="0" xfId="0" applyFont="1" applyBorder="1" applyAlignment="1">
      <alignment horizontal="center" vertical="top" wrapText="1"/>
    </xf>
    <xf numFmtId="0" fontId="90" fillId="0" borderId="16" xfId="0" applyFont="1" applyBorder="1" applyAlignment="1">
      <alignment horizontal="center" vertical="top" wrapText="1"/>
    </xf>
    <xf numFmtId="0" fontId="90" fillId="0" borderId="0" xfId="0" applyFont="1" applyBorder="1" applyAlignment="1">
      <alignment horizontal="left" vertical="top"/>
    </xf>
    <xf numFmtId="0" fontId="90" fillId="0" borderId="16" xfId="0" applyFont="1" applyBorder="1" applyAlignment="1">
      <alignment horizontal="left" vertical="top"/>
    </xf>
    <xf numFmtId="0" fontId="56" fillId="0" borderId="15" xfId="0" applyFont="1" applyBorder="1" applyAlignment="1">
      <alignment horizontal="left" vertical="top" wrapText="1"/>
    </xf>
    <xf numFmtId="0" fontId="56" fillId="0" borderId="0" xfId="0" applyFont="1" applyBorder="1" applyAlignment="1">
      <alignment horizontal="left" vertical="top"/>
    </xf>
    <xf numFmtId="0" fontId="56" fillId="0" borderId="16" xfId="0" applyFont="1" applyBorder="1" applyAlignment="1">
      <alignment horizontal="left" vertical="top"/>
    </xf>
    <xf numFmtId="1" fontId="83" fillId="0" borderId="18" xfId="0" applyNumberFormat="1" applyFont="1" applyFill="1" applyBorder="1" applyAlignment="1">
      <alignment horizontal="center" vertical="center"/>
    </xf>
    <xf numFmtId="1" fontId="83" fillId="0" borderId="19" xfId="0" applyNumberFormat="1" applyFont="1" applyFill="1" applyBorder="1" applyAlignment="1">
      <alignment horizontal="center" vertical="center"/>
    </xf>
    <xf numFmtId="17" fontId="83" fillId="7" borderId="18" xfId="0" applyNumberFormat="1" applyFont="1" applyFill="1" applyBorder="1" applyAlignment="1">
      <alignment horizontal="center" vertical="center"/>
    </xf>
    <xf numFmtId="17" fontId="83" fillId="7" borderId="19" xfId="0" applyNumberFormat="1" applyFont="1" applyFill="1" applyBorder="1" applyAlignment="1">
      <alignment horizontal="center" vertical="center"/>
    </xf>
    <xf numFmtId="2" fontId="101" fillId="0" borderId="18" xfId="0" applyNumberFormat="1" applyFont="1" applyFill="1" applyBorder="1" applyAlignment="1">
      <alignment horizontal="center" vertical="center"/>
    </xf>
    <xf numFmtId="2" fontId="101" fillId="0" borderId="19" xfId="0" applyNumberFormat="1" applyFont="1" applyFill="1" applyBorder="1" applyAlignment="1">
      <alignment horizontal="center" vertical="center"/>
    </xf>
    <xf numFmtId="0" fontId="83" fillId="0" borderId="51" xfId="0" applyFont="1" applyFill="1" applyBorder="1" applyAlignment="1">
      <alignment horizontal="left" vertical="center" wrapText="1"/>
    </xf>
    <xf numFmtId="0" fontId="83" fillId="0" borderId="0" xfId="0" applyFont="1" applyFill="1" applyBorder="1" applyAlignment="1">
      <alignment horizontal="left" vertical="center" wrapText="1"/>
    </xf>
    <xf numFmtId="0" fontId="58" fillId="0" borderId="24" xfId="0" applyFont="1" applyBorder="1" applyAlignment="1">
      <alignment horizontal="center" vertical="top"/>
    </xf>
    <xf numFmtId="0" fontId="58" fillId="0" borderId="25" xfId="0" applyFont="1" applyBorder="1" applyAlignment="1">
      <alignment horizontal="center" vertical="top"/>
    </xf>
    <xf numFmtId="0" fontId="83" fillId="0" borderId="12" xfId="0" applyFont="1" applyFill="1" applyBorder="1" applyAlignment="1">
      <alignment horizontal="left" vertical="center"/>
    </xf>
    <xf numFmtId="0" fontId="83" fillId="0" borderId="13" xfId="0" applyFont="1" applyFill="1" applyBorder="1" applyAlignment="1">
      <alignment horizontal="left" vertical="center"/>
    </xf>
    <xf numFmtId="0" fontId="101" fillId="0" borderId="15" xfId="0" applyFont="1" applyFill="1" applyBorder="1" applyAlignment="1">
      <alignment horizontal="left" vertical="center"/>
    </xf>
    <xf numFmtId="0" fontId="101" fillId="0" borderId="0" xfId="0" applyFont="1" applyFill="1" applyBorder="1" applyAlignment="1">
      <alignment horizontal="left" vertical="center"/>
    </xf>
    <xf numFmtId="0" fontId="101" fillId="0" borderId="48" xfId="0" applyFont="1" applyFill="1" applyBorder="1" applyAlignment="1">
      <alignment horizontal="left" vertical="center"/>
    </xf>
    <xf numFmtId="0" fontId="101" fillId="0" borderId="47" xfId="0" applyFont="1" applyFill="1" applyBorder="1" applyAlignment="1">
      <alignment horizontal="left" vertical="center"/>
    </xf>
    <xf numFmtId="0" fontId="83" fillId="0" borderId="17" xfId="0" applyFont="1" applyFill="1" applyBorder="1" applyAlignment="1">
      <alignment horizontal="center" vertical="center"/>
    </xf>
    <xf numFmtId="0" fontId="83" fillId="0" borderId="18" xfId="0" applyFont="1" applyFill="1" applyBorder="1" applyAlignment="1">
      <alignment horizontal="center" vertical="center" wrapText="1"/>
    </xf>
    <xf numFmtId="0" fontId="83" fillId="0" borderId="18" xfId="0" applyFont="1" applyFill="1" applyBorder="1" applyAlignment="1">
      <alignment horizontal="center" vertical="center"/>
    </xf>
    <xf numFmtId="0" fontId="101" fillId="0" borderId="17" xfId="0" applyFont="1" applyFill="1" applyBorder="1" applyAlignment="1">
      <alignment horizontal="center" vertical="center"/>
    </xf>
    <xf numFmtId="0" fontId="101" fillId="0" borderId="18" xfId="0" applyFont="1" applyFill="1" applyBorder="1" applyAlignment="1">
      <alignment horizontal="center" vertical="center"/>
    </xf>
    <xf numFmtId="0" fontId="164" fillId="0" borderId="17" xfId="0" applyFont="1" applyFill="1" applyBorder="1" applyAlignment="1">
      <alignment horizontal="center" vertical="center"/>
    </xf>
    <xf numFmtId="0" fontId="164" fillId="0" borderId="18" xfId="0" applyFont="1" applyFill="1" applyBorder="1" applyAlignment="1">
      <alignment horizontal="center" vertical="center"/>
    </xf>
    <xf numFmtId="2" fontId="83" fillId="7" borderId="18" xfId="0" applyNumberFormat="1" applyFont="1" applyFill="1" applyBorder="1" applyAlignment="1">
      <alignment horizontal="center" vertical="center"/>
    </xf>
    <xf numFmtId="2" fontId="83" fillId="7" borderId="19" xfId="0" applyNumberFormat="1" applyFont="1" applyFill="1" applyBorder="1" applyAlignment="1">
      <alignment horizontal="center" vertical="center"/>
    </xf>
    <xf numFmtId="0" fontId="167" fillId="0" borderId="15" xfId="0" applyFont="1" applyFill="1" applyBorder="1" applyAlignment="1">
      <alignment horizontal="left" vertical="center" wrapText="1"/>
    </xf>
    <xf numFmtId="0" fontId="167" fillId="0" borderId="0" xfId="0" applyFont="1" applyFill="1" applyBorder="1" applyAlignment="1">
      <alignment horizontal="left" vertical="center" wrapText="1"/>
    </xf>
    <xf numFmtId="0" fontId="101" fillId="0" borderId="80" xfId="0" applyFont="1" applyFill="1" applyBorder="1" applyAlignment="1">
      <alignment horizontal="left" vertical="center" wrapText="1"/>
    </xf>
    <xf numFmtId="0" fontId="101" fillId="0" borderId="51" xfId="0" applyFont="1" applyFill="1" applyBorder="1" applyAlignment="1">
      <alignment horizontal="left" vertical="center" wrapText="1"/>
    </xf>
    <xf numFmtId="0" fontId="115" fillId="0" borderId="21" xfId="126" applyFont="1" applyBorder="1" applyAlignment="1">
      <alignment horizontal="center" vertical="center" wrapText="1"/>
    </xf>
    <xf numFmtId="0" fontId="115" fillId="0" borderId="41" xfId="126" applyFont="1" applyBorder="1" applyAlignment="1">
      <alignment horizontal="center" vertical="center" wrapText="1"/>
    </xf>
    <xf numFmtId="0" fontId="115" fillId="0" borderId="37" xfId="126" applyFont="1" applyBorder="1" applyAlignment="1">
      <alignment horizontal="center" vertical="center" wrapText="1"/>
    </xf>
    <xf numFmtId="0" fontId="115" fillId="0" borderId="0" xfId="126" applyFont="1" applyBorder="1" applyAlignment="1">
      <alignment horizontal="left" wrapText="1"/>
    </xf>
    <xf numFmtId="0" fontId="115" fillId="0" borderId="15" xfId="126" applyFont="1" applyBorder="1" applyAlignment="1">
      <alignment horizontal="center"/>
    </xf>
    <xf numFmtId="0" fontId="115" fillId="0" borderId="0" xfId="126" applyFont="1" applyBorder="1" applyAlignment="1">
      <alignment horizontal="center"/>
    </xf>
    <xf numFmtId="0" fontId="115" fillId="0" borderId="16" xfId="126" applyFont="1" applyBorder="1" applyAlignment="1">
      <alignment horizontal="center"/>
    </xf>
    <xf numFmtId="0" fontId="116" fillId="0" borderId="0" xfId="126" applyFont="1" applyBorder="1" applyAlignment="1">
      <alignment horizontal="left" vertical="top"/>
    </xf>
    <xf numFmtId="0" fontId="116" fillId="0" borderId="0" xfId="126" applyFont="1" applyBorder="1" applyAlignment="1">
      <alignment horizontal="left" vertical="center" wrapText="1"/>
    </xf>
    <xf numFmtId="0" fontId="101" fillId="0" borderId="30" xfId="126" applyFont="1" applyBorder="1" applyAlignment="1">
      <alignment horizontal="left" vertical="center" wrapText="1"/>
    </xf>
    <xf numFmtId="0" fontId="101" fillId="0" borderId="38" xfId="126" applyFont="1" applyBorder="1" applyAlignment="1">
      <alignment horizontal="left" vertical="center"/>
    </xf>
    <xf numFmtId="0" fontId="101" fillId="0" borderId="31" xfId="126" applyFont="1" applyBorder="1" applyAlignment="1">
      <alignment horizontal="left" vertical="center"/>
    </xf>
    <xf numFmtId="0" fontId="116" fillId="0" borderId="0" xfId="126" applyFont="1" applyBorder="1" applyAlignment="1">
      <alignment horizontal="center" vertical="center" wrapText="1"/>
    </xf>
    <xf numFmtId="0" fontId="101" fillId="0" borderId="30" xfId="126" applyFont="1" applyBorder="1" applyAlignment="1">
      <alignment horizontal="left" vertical="top" wrapText="1"/>
    </xf>
    <xf numFmtId="0" fontId="101" fillId="0" borderId="38" xfId="126" applyFont="1" applyBorder="1" applyAlignment="1">
      <alignment horizontal="left" vertical="top"/>
    </xf>
    <xf numFmtId="0" fontId="101" fillId="0" borderId="31" xfId="126" applyFont="1" applyBorder="1" applyAlignment="1">
      <alignment horizontal="left" vertical="top"/>
    </xf>
    <xf numFmtId="0" fontId="58" fillId="0" borderId="30" xfId="1" applyFont="1" applyBorder="1" applyAlignment="1">
      <alignment horizontal="center" vertical="center" wrapText="1"/>
    </xf>
    <xf numFmtId="0" fontId="58" fillId="0" borderId="38" xfId="1" applyFont="1" applyBorder="1" applyAlignment="1">
      <alignment horizontal="center" vertical="center" wrapText="1"/>
    </xf>
    <xf numFmtId="0" fontId="58" fillId="0" borderId="39" xfId="1" applyFont="1" applyBorder="1" applyAlignment="1">
      <alignment horizontal="center" vertical="center" wrapText="1"/>
    </xf>
    <xf numFmtId="0" fontId="92" fillId="0" borderId="15" xfId="2" applyFont="1" applyBorder="1" applyAlignment="1">
      <alignment horizontal="center"/>
    </xf>
    <xf numFmtId="0" fontId="92" fillId="0" borderId="0" xfId="2" applyFont="1" applyBorder="1" applyAlignment="1">
      <alignment horizontal="center"/>
    </xf>
    <xf numFmtId="0" fontId="92" fillId="0" borderId="16" xfId="2" applyFont="1" applyBorder="1" applyAlignment="1">
      <alignment horizontal="center"/>
    </xf>
    <xf numFmtId="0" fontId="56" fillId="0" borderId="15" xfId="2" applyFont="1" applyBorder="1" applyAlignment="1">
      <alignment horizontal="left" vertical="center" wrapText="1"/>
    </xf>
    <xf numFmtId="0" fontId="56" fillId="0" borderId="0" xfId="2" applyFont="1" applyBorder="1" applyAlignment="1">
      <alignment horizontal="left" vertical="center"/>
    </xf>
    <xf numFmtId="0" fontId="56" fillId="0" borderId="16" xfId="2" applyFont="1" applyBorder="1" applyAlignment="1">
      <alignment horizontal="left" vertical="center"/>
    </xf>
    <xf numFmtId="0" fontId="58" fillId="0" borderId="0" xfId="2" applyFont="1" applyBorder="1" applyAlignment="1">
      <alignment horizontal="left" vertical="top" wrapText="1"/>
    </xf>
    <xf numFmtId="0" fontId="58" fillId="0" borderId="20" xfId="2" applyFont="1" applyBorder="1" applyAlignment="1">
      <alignment horizontal="center" vertical="center"/>
    </xf>
    <xf numFmtId="0" fontId="58" fillId="0" borderId="36" xfId="2" applyFont="1" applyBorder="1" applyAlignment="1">
      <alignment horizontal="center" vertical="center"/>
    </xf>
    <xf numFmtId="0" fontId="58" fillId="0" borderId="21" xfId="2" applyFont="1" applyBorder="1" applyAlignment="1">
      <alignment horizontal="center" vertical="center"/>
    </xf>
    <xf numFmtId="0" fontId="58" fillId="0" borderId="37" xfId="2" applyFont="1" applyBorder="1" applyAlignment="1">
      <alignment horizontal="center" vertical="center"/>
    </xf>
    <xf numFmtId="49" fontId="122" fillId="0" borderId="17" xfId="2" applyNumberFormat="1" applyFont="1" applyBorder="1" applyAlignment="1">
      <alignment horizontal="center" vertical="top" wrapText="1"/>
    </xf>
    <xf numFmtId="49" fontId="122" fillId="0" borderId="18" xfId="2" applyNumberFormat="1" applyFont="1" applyBorder="1" applyAlignment="1">
      <alignment horizontal="center" vertical="top" wrapText="1"/>
    </xf>
    <xf numFmtId="49" fontId="122" fillId="0" borderId="19" xfId="2" applyNumberFormat="1" applyFont="1" applyBorder="1" applyAlignment="1">
      <alignment horizontal="center" vertical="top" wrapText="1"/>
    </xf>
    <xf numFmtId="0" fontId="56" fillId="0" borderId="15" xfId="2" applyFont="1" applyBorder="1" applyAlignment="1">
      <alignment horizontal="left"/>
    </xf>
    <xf numFmtId="0" fontId="56" fillId="0" borderId="0" xfId="2" applyFont="1" applyBorder="1" applyAlignment="1">
      <alignment horizontal="left"/>
    </xf>
    <xf numFmtId="0" fontId="56" fillId="0" borderId="16" xfId="2" applyFont="1" applyBorder="1" applyAlignment="1">
      <alignment horizontal="left"/>
    </xf>
    <xf numFmtId="0" fontId="76" fillId="0" borderId="30" xfId="0" applyFont="1" applyBorder="1" applyAlignment="1">
      <alignment horizontal="center" vertical="top" wrapText="1"/>
    </xf>
    <xf numFmtId="0" fontId="76" fillId="0" borderId="31" xfId="0" applyFont="1" applyBorder="1" applyAlignment="1">
      <alignment horizontal="center" vertical="top" wrapText="1"/>
    </xf>
    <xf numFmtId="2" fontId="76" fillId="0" borderId="59" xfId="0" applyNumberFormat="1" applyFont="1" applyBorder="1" applyAlignment="1">
      <alignment horizontal="center" vertical="center" wrapText="1"/>
    </xf>
    <xf numFmtId="2" fontId="76" fillId="0" borderId="60" xfId="0" applyNumberFormat="1" applyFont="1" applyBorder="1" applyAlignment="1">
      <alignment horizontal="center" vertical="center" wrapText="1"/>
    </xf>
    <xf numFmtId="0" fontId="160" fillId="0" borderId="15" xfId="0" applyFont="1" applyBorder="1" applyAlignment="1">
      <alignment horizontal="center" vertical="center" wrapText="1"/>
    </xf>
    <xf numFmtId="0" fontId="160" fillId="0" borderId="0" xfId="0" applyFont="1" applyBorder="1" applyAlignment="1">
      <alignment horizontal="center" vertical="center" wrapText="1"/>
    </xf>
    <xf numFmtId="0" fontId="160" fillId="0" borderId="16" xfId="0" applyFont="1" applyBorder="1" applyAlignment="1">
      <alignment horizontal="center" vertical="center" wrapText="1"/>
    </xf>
    <xf numFmtId="0" fontId="90" fillId="0" borderId="0" xfId="0" applyFont="1" applyBorder="1" applyAlignment="1">
      <alignment horizontal="center" vertical="center"/>
    </xf>
    <xf numFmtId="0" fontId="90" fillId="0" borderId="16" xfId="0" applyFont="1" applyBorder="1" applyAlignment="1">
      <alignment horizontal="center" vertical="center"/>
    </xf>
    <xf numFmtId="0" fontId="76" fillId="0" borderId="0" xfId="0" applyFont="1" applyBorder="1" applyAlignment="1">
      <alignment horizontal="center" vertical="center"/>
    </xf>
    <xf numFmtId="0" fontId="76" fillId="0" borderId="16" xfId="0" applyFont="1" applyBorder="1" applyAlignment="1">
      <alignment horizontal="center" vertical="center"/>
    </xf>
    <xf numFmtId="10" fontId="76" fillId="0" borderId="50" xfId="0" applyNumberFormat="1" applyFont="1" applyBorder="1" applyAlignment="1">
      <alignment horizontal="center" vertical="center" wrapText="1"/>
    </xf>
    <xf numFmtId="10" fontId="76" fillId="0" borderId="52" xfId="0" applyNumberFormat="1" applyFont="1" applyBorder="1" applyAlignment="1">
      <alignment horizontal="center" vertical="center" wrapText="1"/>
    </xf>
    <xf numFmtId="10" fontId="76" fillId="0" borderId="53" xfId="0" applyNumberFormat="1" applyFont="1" applyBorder="1" applyAlignment="1">
      <alignment horizontal="center" vertical="center" wrapText="1"/>
    </xf>
    <xf numFmtId="10" fontId="76" fillId="0" borderId="54" xfId="0" applyNumberFormat="1" applyFont="1" applyBorder="1" applyAlignment="1">
      <alignment horizontal="center" vertical="center" wrapText="1"/>
    </xf>
    <xf numFmtId="10" fontId="76" fillId="0" borderId="59" xfId="0" applyNumberFormat="1" applyFont="1" applyBorder="1" applyAlignment="1">
      <alignment horizontal="center" vertical="center" wrapText="1"/>
    </xf>
    <xf numFmtId="10" fontId="76" fillId="0" borderId="60" xfId="0" applyNumberFormat="1" applyFont="1" applyBorder="1" applyAlignment="1">
      <alignment horizontal="center" vertical="center" wrapText="1"/>
    </xf>
    <xf numFmtId="0" fontId="90" fillId="0" borderId="22" xfId="0" applyFont="1" applyBorder="1" applyAlignment="1">
      <alignment horizontal="center" vertical="center" wrapText="1"/>
    </xf>
    <xf numFmtId="0" fontId="90" fillId="0" borderId="40" xfId="0" applyFont="1" applyBorder="1" applyAlignment="1">
      <alignment horizontal="center" vertical="center" wrapText="1"/>
    </xf>
    <xf numFmtId="0" fontId="64" fillId="0" borderId="0" xfId="1" applyFont="1" applyAlignment="1">
      <alignment horizontal="center" vertical="center"/>
    </xf>
    <xf numFmtId="0" fontId="45" fillId="0" borderId="26" xfId="1" applyFont="1" applyBorder="1" applyAlignment="1">
      <alignment horizontal="center" vertical="center" wrapText="1"/>
    </xf>
    <xf numFmtId="0" fontId="45" fillId="0" borderId="17" xfId="1" applyFont="1" applyBorder="1" applyAlignment="1">
      <alignment horizontal="center" vertical="center" wrapText="1"/>
    </xf>
    <xf numFmtId="0" fontId="45" fillId="0" borderId="27" xfId="1" applyFont="1" applyBorder="1" applyAlignment="1">
      <alignment horizontal="right" vertical="center" wrapText="1" indent="4"/>
    </xf>
    <xf numFmtId="0" fontId="45" fillId="0" borderId="18" xfId="1" applyFont="1" applyBorder="1" applyAlignment="1">
      <alignment horizontal="right" vertical="center" wrapText="1" indent="4"/>
    </xf>
    <xf numFmtId="0" fontId="45" fillId="0" borderId="21" xfId="1" applyFont="1" applyBorder="1" applyAlignment="1">
      <alignment horizontal="right" vertical="center" wrapText="1" indent="4"/>
    </xf>
    <xf numFmtId="17" fontId="45" fillId="0" borderId="28" xfId="1" applyNumberFormat="1" applyFont="1" applyBorder="1" applyAlignment="1">
      <alignment horizontal="center" vertical="center" wrapText="1"/>
    </xf>
    <xf numFmtId="0" fontId="45" fillId="0" borderId="29" xfId="1" applyFont="1" applyBorder="1" applyAlignment="1">
      <alignment horizontal="center" vertical="center" wrapText="1"/>
    </xf>
    <xf numFmtId="0" fontId="66" fillId="0" borderId="30" xfId="1" applyFont="1" applyBorder="1" applyAlignment="1">
      <alignment horizontal="center" vertical="justify" wrapText="1"/>
    </xf>
    <xf numFmtId="0" fontId="66" fillId="0" borderId="31" xfId="1" applyFont="1" applyBorder="1" applyAlignment="1">
      <alignment horizontal="center" vertical="justify" wrapText="1"/>
    </xf>
    <xf numFmtId="0" fontId="66" fillId="0" borderId="18" xfId="1" applyFont="1" applyBorder="1" applyAlignment="1">
      <alignment horizontal="center" vertical="center" wrapText="1"/>
    </xf>
    <xf numFmtId="0" fontId="66" fillId="0" borderId="19" xfId="1" applyFont="1" applyBorder="1" applyAlignment="1">
      <alignment horizontal="center" vertical="center" wrapText="1"/>
    </xf>
    <xf numFmtId="0" fontId="58" fillId="0" borderId="0" xfId="63" applyFont="1" applyAlignment="1">
      <alignment horizontal="left" vertical="center" wrapText="1"/>
    </xf>
    <xf numFmtId="0" fontId="59" fillId="0" borderId="0" xfId="63" applyFont="1" applyAlignment="1">
      <alignment horizontal="center" vertical="center"/>
    </xf>
    <xf numFmtId="0" fontId="58" fillId="0" borderId="26" xfId="63" applyFont="1" applyBorder="1" applyAlignment="1">
      <alignment horizontal="center" vertical="center" wrapText="1"/>
    </xf>
    <xf numFmtId="0" fontId="58" fillId="0" borderId="17" xfId="63" applyFont="1" applyBorder="1" applyAlignment="1">
      <alignment horizontal="center" vertical="center" wrapText="1"/>
    </xf>
    <xf numFmtId="0" fontId="58" fillId="0" borderId="27" xfId="63" applyFont="1" applyBorder="1" applyAlignment="1">
      <alignment horizontal="right" vertical="center" wrapText="1" indent="4"/>
    </xf>
    <xf numFmtId="0" fontId="58" fillId="0" borderId="18" xfId="63" applyFont="1" applyBorder="1" applyAlignment="1">
      <alignment horizontal="right" vertical="center" wrapText="1" indent="4"/>
    </xf>
    <xf numFmtId="0" fontId="58" fillId="0" borderId="27" xfId="63" applyFont="1" applyBorder="1" applyAlignment="1">
      <alignment horizontal="center" vertical="center" wrapText="1"/>
    </xf>
    <xf numFmtId="0" fontId="58" fillId="0" borderId="32" xfId="63" applyFont="1" applyBorder="1" applyAlignment="1">
      <alignment horizontal="center" vertical="center" wrapText="1"/>
    </xf>
    <xf numFmtId="0" fontId="58" fillId="0" borderId="18" xfId="63" applyFont="1" applyBorder="1" applyAlignment="1">
      <alignment horizontal="center" vertical="justify" wrapText="1"/>
    </xf>
    <xf numFmtId="0" fontId="58" fillId="0" borderId="18" xfId="63" applyFont="1" applyBorder="1" applyAlignment="1">
      <alignment horizontal="center" vertical="center" wrapText="1"/>
    </xf>
    <xf numFmtId="0" fontId="58" fillId="0" borderId="19" xfId="63" applyFont="1" applyBorder="1" applyAlignment="1">
      <alignment horizontal="center" vertical="center" wrapText="1"/>
    </xf>
    <xf numFmtId="0" fontId="90" fillId="0" borderId="30" xfId="0" applyFont="1" applyBorder="1" applyAlignment="1">
      <alignment horizontal="left" vertical="center"/>
    </xf>
    <xf numFmtId="0" fontId="90" fillId="0" borderId="38" xfId="0" applyFont="1" applyBorder="1" applyAlignment="1">
      <alignment horizontal="left" vertical="center"/>
    </xf>
    <xf numFmtId="0" fontId="90" fillId="0" borderId="31" xfId="0" applyFont="1" applyBorder="1" applyAlignment="1">
      <alignment horizontal="left" vertical="center"/>
    </xf>
    <xf numFmtId="0" fontId="90" fillId="0" borderId="18" xfId="0" applyFont="1" applyBorder="1" applyAlignment="1">
      <alignment horizontal="left" vertical="top"/>
    </xf>
    <xf numFmtId="0" fontId="76" fillId="0" borderId="18" xfId="0" applyFont="1" applyBorder="1" applyAlignment="1">
      <alignment horizontal="right" vertical="center"/>
    </xf>
    <xf numFmtId="0" fontId="90" fillId="0" borderId="30" xfId="0" applyFont="1" applyBorder="1" applyAlignment="1">
      <alignment horizontal="center" vertical="center"/>
    </xf>
    <xf numFmtId="0" fontId="90" fillId="0" borderId="38" xfId="0" applyFont="1" applyBorder="1" applyAlignment="1">
      <alignment horizontal="center" vertical="center"/>
    </xf>
    <xf numFmtId="0" fontId="90" fillId="0" borderId="31" xfId="0" applyFont="1" applyBorder="1" applyAlignment="1">
      <alignment horizontal="center" vertical="center"/>
    </xf>
    <xf numFmtId="0" fontId="76" fillId="0" borderId="38" xfId="0" applyFont="1" applyBorder="1" applyAlignment="1">
      <alignment horizontal="center" vertical="center"/>
    </xf>
    <xf numFmtId="0" fontId="82" fillId="0" borderId="12" xfId="0" applyFont="1" applyBorder="1" applyAlignment="1">
      <alignment vertical="center" wrapText="1"/>
    </xf>
    <xf numFmtId="0" fontId="82" fillId="0" borderId="13" xfId="0" applyFont="1" applyBorder="1" applyAlignment="1">
      <alignment vertical="center" wrapText="1"/>
    </xf>
    <xf numFmtId="0" fontId="82" fillId="0" borderId="14" xfId="0" applyFont="1" applyBorder="1" applyAlignment="1">
      <alignment vertical="center" wrapText="1"/>
    </xf>
    <xf numFmtId="0" fontId="82" fillId="0" borderId="23" xfId="0" applyFont="1" applyBorder="1" applyAlignment="1">
      <alignment vertical="center" wrapText="1"/>
    </xf>
    <xf numFmtId="0" fontId="82" fillId="0" borderId="24" xfId="0" applyFont="1" applyBorder="1" applyAlignment="1">
      <alignment vertical="center" wrapText="1"/>
    </xf>
    <xf numFmtId="0" fontId="82" fillId="0" borderId="25" xfId="0" applyFont="1" applyBorder="1" applyAlignment="1">
      <alignment vertical="center" wrapText="1"/>
    </xf>
    <xf numFmtId="0" fontId="78" fillId="4" borderId="42" xfId="0" applyFont="1" applyFill="1" applyBorder="1" applyAlignment="1">
      <alignment horizontal="center" vertical="center" wrapText="1"/>
    </xf>
    <xf numFmtId="0" fontId="78" fillId="4" borderId="61" xfId="0" applyFont="1" applyFill="1" applyBorder="1" applyAlignment="1">
      <alignment horizontal="center" vertical="center" wrapText="1"/>
    </xf>
    <xf numFmtId="0" fontId="78" fillId="4" borderId="62" xfId="0" applyFont="1" applyFill="1" applyBorder="1" applyAlignment="1">
      <alignment horizontal="center" vertical="center" wrapText="1"/>
    </xf>
    <xf numFmtId="0" fontId="81" fillId="0" borderId="42" xfId="0" applyFont="1" applyBorder="1" applyAlignment="1">
      <alignment vertical="center" wrapText="1"/>
    </xf>
    <xf numFmtId="0" fontId="81" fillId="0" borderId="61" xfId="0" applyFont="1" applyBorder="1" applyAlignment="1">
      <alignment vertical="center" wrapText="1"/>
    </xf>
    <xf numFmtId="0" fontId="81" fillId="0" borderId="62" xfId="0" applyFont="1" applyBorder="1" applyAlignment="1">
      <alignment vertical="center" wrapText="1"/>
    </xf>
    <xf numFmtId="0" fontId="81" fillId="0" borderId="42" xfId="0" applyFont="1" applyBorder="1" applyAlignment="1">
      <alignment horizontal="center" vertical="center" wrapText="1"/>
    </xf>
    <xf numFmtId="0" fontId="81" fillId="0" borderId="61" xfId="0" applyFont="1" applyBorder="1" applyAlignment="1">
      <alignment horizontal="center" vertical="center" wrapText="1"/>
    </xf>
    <xf numFmtId="0" fontId="81" fillId="0" borderId="62" xfId="0" applyFont="1" applyBorder="1" applyAlignment="1">
      <alignment horizontal="center" vertical="center" wrapText="1"/>
    </xf>
    <xf numFmtId="0" fontId="81" fillId="5" borderId="64" xfId="0" applyFont="1" applyFill="1" applyBorder="1" applyAlignment="1">
      <alignment horizontal="center" vertical="center" wrapText="1"/>
    </xf>
    <xf numFmtId="0" fontId="81" fillId="5" borderId="65" xfId="0" applyFont="1" applyFill="1" applyBorder="1" applyAlignment="1">
      <alignment horizontal="center" vertical="center" wrapText="1"/>
    </xf>
    <xf numFmtId="0" fontId="22" fillId="0" borderId="42" xfId="123" applyFont="1" applyBorder="1" applyAlignment="1">
      <alignment vertical="center" wrapText="1"/>
    </xf>
    <xf numFmtId="0" fontId="22" fillId="0" borderId="61" xfId="123" applyFont="1" applyBorder="1" applyAlignment="1">
      <alignment vertical="center" wrapText="1"/>
    </xf>
    <xf numFmtId="0" fontId="22" fillId="0" borderId="66" xfId="123" applyFont="1" applyBorder="1" applyAlignment="1">
      <alignment vertical="center" wrapText="1"/>
    </xf>
    <xf numFmtId="0" fontId="22" fillId="0" borderId="62" xfId="123" applyFont="1" applyBorder="1" applyAlignment="1">
      <alignment vertical="center" wrapText="1"/>
    </xf>
    <xf numFmtId="0" fontId="22" fillId="0" borderId="42" xfId="123" applyFont="1" applyBorder="1" applyAlignment="1">
      <alignment horizontal="right" vertical="center" wrapText="1"/>
    </xf>
    <xf numFmtId="0" fontId="22" fillId="0" borderId="62" xfId="123" applyFont="1" applyBorder="1" applyAlignment="1">
      <alignment horizontal="right" vertical="center" wrapText="1"/>
    </xf>
    <xf numFmtId="0" fontId="22" fillId="0" borderId="61" xfId="123" applyFont="1" applyBorder="1" applyAlignment="1">
      <alignment horizontal="right" vertical="center" wrapText="1"/>
    </xf>
    <xf numFmtId="0" fontId="22" fillId="0" borderId="66" xfId="123" applyFont="1" applyBorder="1" applyAlignment="1">
      <alignment horizontal="right" vertical="center" wrapText="1"/>
    </xf>
    <xf numFmtId="0" fontId="22" fillId="0" borderId="67" xfId="123" applyFont="1" applyBorder="1" applyAlignment="1">
      <alignment horizontal="right" vertical="center" wrapText="1"/>
    </xf>
    <xf numFmtId="0" fontId="97" fillId="0" borderId="64" xfId="123" applyFont="1" applyBorder="1" applyAlignment="1">
      <alignment vertical="center" wrapText="1"/>
    </xf>
    <xf numFmtId="0" fontId="97" fillId="0" borderId="63" xfId="123" applyFont="1" applyBorder="1" applyAlignment="1">
      <alignment vertical="center" wrapText="1"/>
    </xf>
    <xf numFmtId="0" fontId="97" fillId="0" borderId="65" xfId="123" applyFont="1" applyBorder="1" applyAlignment="1">
      <alignment vertical="center" wrapText="1"/>
    </xf>
    <xf numFmtId="0" fontId="97" fillId="5" borderId="12" xfId="123" applyFont="1" applyFill="1" applyBorder="1" applyAlignment="1">
      <alignment horizontal="center" vertical="center" wrapText="1"/>
    </xf>
    <xf numFmtId="0" fontId="97" fillId="5" borderId="14" xfId="123" applyFont="1" applyFill="1" applyBorder="1" applyAlignment="1">
      <alignment horizontal="center" vertical="center" wrapText="1"/>
    </xf>
    <xf numFmtId="0" fontId="97" fillId="5" borderId="64" xfId="123" applyFont="1" applyFill="1" applyBorder="1" applyAlignment="1">
      <alignment vertical="center" wrapText="1"/>
    </xf>
    <xf numFmtId="0" fontId="97" fillId="5" borderId="63" xfId="123" applyFont="1" applyFill="1" applyBorder="1" applyAlignment="1">
      <alignment vertical="center" wrapText="1"/>
    </xf>
    <xf numFmtId="0" fontId="97" fillId="5" borderId="65" xfId="123" applyFont="1" applyFill="1" applyBorder="1" applyAlignment="1">
      <alignment vertical="center" wrapText="1"/>
    </xf>
    <xf numFmtId="0" fontId="97" fillId="5" borderId="15" xfId="123" applyFont="1" applyFill="1" applyBorder="1" applyAlignment="1">
      <alignment horizontal="center" vertical="center" wrapText="1"/>
    </xf>
    <xf numFmtId="0" fontId="97" fillId="5" borderId="16" xfId="123" applyFont="1" applyFill="1" applyBorder="1" applyAlignment="1">
      <alignment horizontal="center" vertical="center" wrapText="1"/>
    </xf>
    <xf numFmtId="0" fontId="15" fillId="5" borderId="23" xfId="123" applyFill="1" applyBorder="1" applyAlignment="1">
      <alignment vertical="center" wrapText="1"/>
    </xf>
    <xf numFmtId="0" fontId="15" fillId="5" borderId="25" xfId="123" applyFill="1" applyBorder="1" applyAlignment="1">
      <alignment vertical="center" wrapText="1"/>
    </xf>
    <xf numFmtId="0" fontId="98" fillId="0" borderId="42" xfId="123" applyFont="1" applyBorder="1" applyAlignment="1">
      <alignment horizontal="center" vertical="center" wrapText="1"/>
    </xf>
    <xf numFmtId="0" fontId="98" fillId="0" borderId="61" xfId="123" applyFont="1" applyBorder="1" applyAlignment="1">
      <alignment horizontal="center" vertical="center" wrapText="1"/>
    </xf>
    <xf numFmtId="0" fontId="98" fillId="0" borderId="66" xfId="123" applyFont="1" applyBorder="1" applyAlignment="1">
      <alignment horizontal="center" vertical="center" wrapText="1"/>
    </xf>
    <xf numFmtId="0" fontId="97" fillId="0" borderId="67" xfId="123" applyFont="1" applyBorder="1" applyAlignment="1">
      <alignment horizontal="center" vertical="center" wrapText="1"/>
    </xf>
    <xf numFmtId="0" fontId="97" fillId="0" borderId="61" xfId="123" applyFont="1" applyBorder="1" applyAlignment="1">
      <alignment horizontal="center" vertical="center" wrapText="1"/>
    </xf>
    <xf numFmtId="0" fontId="97" fillId="0" borderId="66" xfId="123" applyFont="1" applyBorder="1" applyAlignment="1">
      <alignment horizontal="center" vertical="center" wrapText="1"/>
    </xf>
    <xf numFmtId="0" fontId="79" fillId="4" borderId="42" xfId="123" applyFont="1" applyFill="1" applyBorder="1" applyAlignment="1">
      <alignment horizontal="center" vertical="center" wrapText="1"/>
    </xf>
    <xf numFmtId="0" fontId="79" fillId="4" borderId="61" xfId="123" applyFont="1" applyFill="1" applyBorder="1" applyAlignment="1">
      <alignment horizontal="center" vertical="center" wrapText="1"/>
    </xf>
    <xf numFmtId="0" fontId="79" fillId="4" borderId="66" xfId="123" applyFont="1" applyFill="1" applyBorder="1" applyAlignment="1">
      <alignment horizontal="center" vertical="center" wrapText="1"/>
    </xf>
    <xf numFmtId="0" fontId="97" fillId="0" borderId="42" xfId="123" applyFont="1" applyBorder="1" applyAlignment="1">
      <alignment vertical="center" wrapText="1"/>
    </xf>
    <xf numFmtId="0" fontId="97" fillId="0" borderId="61" xfId="123" applyFont="1" applyBorder="1" applyAlignment="1">
      <alignment vertical="center" wrapText="1"/>
    </xf>
    <xf numFmtId="0" fontId="97" fillId="0" borderId="62" xfId="123" applyFont="1" applyBorder="1" applyAlignment="1">
      <alignment vertical="center" wrapText="1"/>
    </xf>
    <xf numFmtId="0" fontId="22" fillId="0" borderId="42" xfId="123" applyFont="1" applyBorder="1" applyAlignment="1">
      <alignment horizontal="center" vertical="center" wrapText="1"/>
    </xf>
    <xf numFmtId="0" fontId="22" fillId="0" borderId="61" xfId="123" applyFont="1" applyBorder="1" applyAlignment="1">
      <alignment horizontal="center" vertical="center" wrapText="1"/>
    </xf>
    <xf numFmtId="0" fontId="22" fillId="0" borderId="66" xfId="123" applyFont="1" applyBorder="1" applyAlignment="1">
      <alignment horizontal="center" vertical="center" wrapText="1"/>
    </xf>
    <xf numFmtId="0" fontId="56" fillId="0" borderId="17" xfId="133" applyFont="1" applyBorder="1" applyAlignment="1">
      <alignment horizontal="left" vertical="center" wrapText="1"/>
    </xf>
    <xf numFmtId="0" fontId="56" fillId="0" borderId="18" xfId="133" applyFont="1" applyBorder="1" applyAlignment="1">
      <alignment horizontal="left" vertical="center" wrapText="1"/>
    </xf>
    <xf numFmtId="0" fontId="56" fillId="0" borderId="19" xfId="133" applyFont="1" applyBorder="1" applyAlignment="1">
      <alignment horizontal="left" vertical="center" wrapText="1"/>
    </xf>
    <xf numFmtId="0" fontId="56" fillId="0" borderId="2" xfId="133" applyFont="1" applyBorder="1" applyAlignment="1">
      <alignment horizontal="left" vertical="center" wrapText="1"/>
    </xf>
    <xf numFmtId="0" fontId="56" fillId="0" borderId="4" xfId="133" applyFont="1" applyBorder="1" applyAlignment="1">
      <alignment horizontal="left" vertical="center" wrapText="1"/>
    </xf>
    <xf numFmtId="0" fontId="58" fillId="0" borderId="71" xfId="133" applyFont="1" applyBorder="1" applyAlignment="1">
      <alignment horizontal="center" vertical="center" wrapText="1"/>
    </xf>
    <xf numFmtId="0" fontId="58" fillId="0" borderId="88" xfId="133" applyFont="1" applyBorder="1" applyAlignment="1">
      <alignment horizontal="center" vertical="center" wrapText="1"/>
    </xf>
    <xf numFmtId="0" fontId="58" fillId="0" borderId="43" xfId="133" applyFont="1" applyBorder="1" applyAlignment="1">
      <alignment horizontal="center" vertical="center" wrapText="1"/>
    </xf>
    <xf numFmtId="0" fontId="58" fillId="0" borderId="5" xfId="133" applyFont="1" applyBorder="1" applyAlignment="1">
      <alignment horizontal="center" vertical="center" wrapText="1"/>
    </xf>
    <xf numFmtId="0" fontId="58" fillId="0" borderId="8" xfId="133" applyFont="1" applyBorder="1" applyAlignment="1">
      <alignment horizontal="center" vertical="center" wrapText="1"/>
    </xf>
    <xf numFmtId="0" fontId="58" fillId="0" borderId="74" xfId="133" applyFont="1" applyBorder="1" applyAlignment="1">
      <alignment horizontal="center" vertical="center" wrapText="1"/>
    </xf>
    <xf numFmtId="0" fontId="58" fillId="0" borderId="84" xfId="133" applyFont="1" applyBorder="1" applyAlignment="1">
      <alignment horizontal="center" vertical="center" wrapText="1"/>
    </xf>
    <xf numFmtId="0" fontId="58" fillId="0" borderId="9" xfId="133" applyFont="1" applyBorder="1" applyAlignment="1">
      <alignment horizontal="center" vertical="center" wrapText="1"/>
    </xf>
    <xf numFmtId="0" fontId="58" fillId="0" borderId="10" xfId="133" applyFont="1" applyBorder="1" applyAlignment="1">
      <alignment horizontal="center" vertical="center" wrapText="1"/>
    </xf>
    <xf numFmtId="0" fontId="58" fillId="0" borderId="7" xfId="133" applyFont="1" applyBorder="1" applyAlignment="1">
      <alignment horizontal="center" vertical="center" wrapText="1"/>
    </xf>
    <xf numFmtId="0" fontId="58" fillId="0" borderId="83" xfId="133" applyFont="1" applyBorder="1" applyAlignment="1">
      <alignment horizontal="center" vertical="center" wrapText="1"/>
    </xf>
    <xf numFmtId="0" fontId="58" fillId="0" borderId="11" xfId="133" applyFont="1" applyBorder="1" applyAlignment="1">
      <alignment horizontal="center" vertical="center" wrapText="1"/>
    </xf>
    <xf numFmtId="0" fontId="90" fillId="0" borderId="12" xfId="133" applyFont="1" applyBorder="1" applyAlignment="1">
      <alignment horizontal="center" vertical="center"/>
    </xf>
    <xf numFmtId="0" fontId="90" fillId="0" borderId="13" xfId="133" applyFont="1" applyBorder="1" applyAlignment="1">
      <alignment horizontal="center" vertical="center"/>
    </xf>
    <xf numFmtId="0" fontId="90" fillId="0" borderId="14" xfId="133" applyFont="1" applyBorder="1" applyAlignment="1">
      <alignment horizontal="center" vertical="center"/>
    </xf>
    <xf numFmtId="0" fontId="90" fillId="0" borderId="15" xfId="133" applyFont="1" applyBorder="1" applyAlignment="1">
      <alignment horizontal="center" vertical="center"/>
    </xf>
    <xf numFmtId="0" fontId="90" fillId="0" borderId="0" xfId="133" applyFont="1" applyBorder="1" applyAlignment="1">
      <alignment horizontal="center" vertical="center"/>
    </xf>
    <xf numFmtId="0" fontId="90" fillId="0" borderId="16" xfId="133" applyFont="1" applyBorder="1" applyAlignment="1">
      <alignment horizontal="center" vertical="center"/>
    </xf>
    <xf numFmtId="0" fontId="58" fillId="6" borderId="2" xfId="133" applyFont="1" applyFill="1" applyBorder="1" applyAlignment="1">
      <alignment horizontal="center" vertical="center" wrapText="1"/>
    </xf>
    <xf numFmtId="0" fontId="58" fillId="6" borderId="3" xfId="133" applyFont="1" applyFill="1" applyBorder="1" applyAlignment="1">
      <alignment horizontal="center" vertical="center" wrapText="1"/>
    </xf>
    <xf numFmtId="0" fontId="58" fillId="6" borderId="85" xfId="133" applyFont="1" applyFill="1" applyBorder="1" applyAlignment="1">
      <alignment horizontal="center" vertical="center" wrapText="1"/>
    </xf>
    <xf numFmtId="0" fontId="56" fillId="0" borderId="75" xfId="133" applyFont="1" applyBorder="1" applyAlignment="1">
      <alignment horizontal="left" vertical="center" wrapText="1"/>
    </xf>
    <xf numFmtId="0" fontId="56" fillId="0" borderId="38" xfId="133" applyFont="1" applyBorder="1" applyAlignment="1">
      <alignment horizontal="left" vertical="center" wrapText="1"/>
    </xf>
    <xf numFmtId="0" fontId="56" fillId="0" borderId="39" xfId="133" applyFont="1" applyBorder="1" applyAlignment="1">
      <alignment horizontal="left" vertical="center" wrapText="1"/>
    </xf>
    <xf numFmtId="0" fontId="95" fillId="0" borderId="15" xfId="133" applyFont="1" applyBorder="1" applyAlignment="1">
      <alignment horizontal="center" vertical="center"/>
    </xf>
    <xf numFmtId="0" fontId="95" fillId="0" borderId="0" xfId="133" applyFont="1" applyBorder="1" applyAlignment="1">
      <alignment horizontal="center" vertical="center"/>
    </xf>
    <xf numFmtId="0" fontId="95" fillId="0" borderId="16" xfId="133" applyFont="1" applyBorder="1" applyAlignment="1">
      <alignment horizontal="center" vertical="center"/>
    </xf>
    <xf numFmtId="0" fontId="76" fillId="0" borderId="13" xfId="0" applyFont="1" applyBorder="1" applyAlignment="1">
      <alignment horizontal="center" vertical="center"/>
    </xf>
    <xf numFmtId="0" fontId="76" fillId="0" borderId="14" xfId="0" applyFont="1" applyBorder="1" applyAlignment="1">
      <alignment horizontal="center" vertical="center"/>
    </xf>
    <xf numFmtId="0" fontId="58" fillId="0" borderId="20" xfId="133" applyFont="1" applyBorder="1" applyAlignment="1">
      <alignment horizontal="center" vertical="center" wrapText="1"/>
    </xf>
    <xf numFmtId="0" fontId="58" fillId="0" borderId="90" xfId="133" applyFont="1" applyBorder="1" applyAlignment="1">
      <alignment horizontal="center" vertical="center" wrapText="1"/>
    </xf>
    <xf numFmtId="0" fontId="58" fillId="0" borderId="36" xfId="133" applyFont="1" applyBorder="1" applyAlignment="1">
      <alignment horizontal="center" vertical="center" wrapText="1"/>
    </xf>
    <xf numFmtId="0" fontId="58" fillId="6" borderId="18" xfId="133" applyFont="1" applyFill="1" applyBorder="1" applyAlignment="1">
      <alignment horizontal="center" vertical="top" wrapText="1"/>
    </xf>
    <xf numFmtId="0" fontId="58" fillId="6" borderId="19" xfId="133" applyFont="1" applyFill="1" applyBorder="1" applyAlignment="1">
      <alignment horizontal="center" vertical="top" wrapText="1"/>
    </xf>
    <xf numFmtId="0" fontId="76" fillId="0" borderId="0" xfId="133" applyFont="1" applyBorder="1" applyAlignment="1">
      <alignment horizontal="center" vertical="top"/>
    </xf>
    <xf numFmtId="0" fontId="76" fillId="0" borderId="16" xfId="133" applyFont="1" applyBorder="1" applyAlignment="1">
      <alignment horizontal="center" vertical="top"/>
    </xf>
    <xf numFmtId="0" fontId="58" fillId="6" borderId="2" xfId="133" applyFont="1" applyFill="1" applyBorder="1" applyAlignment="1">
      <alignment horizontal="center" vertical="top" wrapText="1"/>
    </xf>
    <xf numFmtId="0" fontId="58" fillId="6" borderId="3" xfId="133" applyFont="1" applyFill="1" applyBorder="1" applyAlignment="1">
      <alignment horizontal="center" vertical="top" wrapText="1"/>
    </xf>
    <xf numFmtId="0" fontId="58" fillId="6" borderId="85" xfId="133" applyFont="1" applyFill="1" applyBorder="1" applyAlignment="1">
      <alignment horizontal="center" vertical="top" wrapText="1"/>
    </xf>
    <xf numFmtId="0" fontId="103" fillId="0" borderId="15" xfId="121" applyFont="1" applyBorder="1" applyAlignment="1">
      <alignment horizontal="center" vertical="center" wrapText="1"/>
    </xf>
    <xf numFmtId="0" fontId="103" fillId="0" borderId="0" xfId="121" applyFont="1" applyAlignment="1">
      <alignment horizontal="center" vertical="center" wrapText="1"/>
    </xf>
    <xf numFmtId="0" fontId="103" fillId="0" borderId="16" xfId="121" applyFont="1" applyBorder="1" applyAlignment="1">
      <alignment horizontal="center" vertical="center" wrapText="1"/>
    </xf>
    <xf numFmtId="0" fontId="79" fillId="0" borderId="77" xfId="121" applyFont="1" applyBorder="1" applyAlignment="1">
      <alignment horizontal="center" vertical="center" wrapText="1"/>
    </xf>
    <xf numFmtId="0" fontId="79" fillId="0" borderId="59" xfId="121" applyFont="1" applyBorder="1" applyAlignment="1">
      <alignment horizontal="center" vertical="center" wrapText="1"/>
    </xf>
    <xf numFmtId="0" fontId="85" fillId="0" borderId="15" xfId="121" applyFont="1" applyBorder="1" applyAlignment="1">
      <alignment vertical="center" wrapText="1"/>
    </xf>
    <xf numFmtId="0" fontId="85" fillId="0" borderId="0" xfId="121" applyFont="1" applyAlignment="1">
      <alignment vertical="center" wrapText="1"/>
    </xf>
    <xf numFmtId="0" fontId="85" fillId="0" borderId="0" xfId="121" applyFont="1" applyAlignment="1">
      <alignment horizontal="left" vertical="center" wrapText="1"/>
    </xf>
    <xf numFmtId="0" fontId="79" fillId="0" borderId="26" xfId="121" applyFont="1" applyBorder="1" applyAlignment="1">
      <alignment horizontal="center" vertical="center" wrapText="1"/>
    </xf>
    <xf numFmtId="0" fontId="79" fillId="0" borderId="17" xfId="121" applyFont="1" applyBorder="1" applyAlignment="1">
      <alignment horizontal="center" vertical="center" wrapText="1"/>
    </xf>
    <xf numFmtId="0" fontId="79" fillId="0" borderId="69" xfId="121" applyFont="1" applyBorder="1" applyAlignment="1">
      <alignment horizontal="center" vertical="center" wrapText="1"/>
    </xf>
    <xf numFmtId="0" fontId="79" fillId="0" borderId="37" xfId="121" applyFont="1" applyBorder="1" applyAlignment="1">
      <alignment horizontal="center" vertical="center" wrapText="1"/>
    </xf>
    <xf numFmtId="0" fontId="81" fillId="0" borderId="41" xfId="121" applyFont="1" applyBorder="1" applyAlignment="1">
      <alignment horizontal="center" vertical="center" wrapText="1"/>
    </xf>
    <xf numFmtId="0" fontId="81" fillId="0" borderId="37" xfId="121" applyFont="1" applyBorder="1" applyAlignment="1">
      <alignment horizontal="center" vertical="center" wrapText="1"/>
    </xf>
    <xf numFmtId="0" fontId="79" fillId="0" borderId="70" xfId="121" applyFont="1" applyBorder="1" applyAlignment="1">
      <alignment horizontal="center" vertical="center" wrapText="1"/>
    </xf>
    <xf numFmtId="0" fontId="79" fillId="0" borderId="40" xfId="121" applyFont="1" applyBorder="1" applyAlignment="1">
      <alignment horizontal="center" vertical="center" wrapText="1"/>
    </xf>
    <xf numFmtId="0" fontId="81" fillId="0" borderId="69" xfId="121" applyFont="1" applyBorder="1" applyAlignment="1">
      <alignment horizontal="center" vertical="center" wrapText="1"/>
    </xf>
    <xf numFmtId="0" fontId="89" fillId="0" borderId="0" xfId="121" applyFont="1" applyAlignment="1">
      <alignment vertical="center" wrapText="1"/>
    </xf>
    <xf numFmtId="0" fontId="81" fillId="0" borderId="77" xfId="121" applyFont="1" applyBorder="1" applyAlignment="1">
      <alignment horizontal="center" vertical="center" wrapText="1"/>
    </xf>
    <xf numFmtId="0" fontId="81" fillId="0" borderId="59" xfId="121" applyFont="1" applyBorder="1" applyAlignment="1">
      <alignment horizontal="center" vertical="center" wrapText="1"/>
    </xf>
    <xf numFmtId="0" fontId="94" fillId="0" borderId="78" xfId="121" applyFont="1" applyBorder="1" applyAlignment="1">
      <alignment horizontal="center" vertical="center" wrapText="1"/>
    </xf>
    <xf numFmtId="0" fontId="94" fillId="0" borderId="36" xfId="121" applyFont="1" applyBorder="1" applyAlignment="1">
      <alignment horizontal="center" vertical="center" wrapText="1"/>
    </xf>
    <xf numFmtId="0" fontId="52" fillId="0" borderId="0" xfId="0" applyFont="1" applyAlignment="1">
      <alignment horizontal="center" vertical="top"/>
    </xf>
    <xf numFmtId="0" fontId="79" fillId="0" borderId="30" xfId="121" applyFont="1" applyBorder="1" applyAlignment="1">
      <alignment horizontal="left" vertical="center"/>
    </xf>
    <xf numFmtId="0" fontId="79" fillId="0" borderId="38" xfId="121" applyFont="1" applyBorder="1" applyAlignment="1">
      <alignment horizontal="left" vertical="center"/>
    </xf>
    <xf numFmtId="0" fontId="79" fillId="0" borderId="39" xfId="121" applyFont="1" applyBorder="1" applyAlignment="1">
      <alignment horizontal="left" vertical="center"/>
    </xf>
    <xf numFmtId="0" fontId="78" fillId="0" borderId="30" xfId="121" applyFont="1" applyBorder="1" applyAlignment="1">
      <alignment horizontal="left" vertical="center"/>
    </xf>
    <xf numFmtId="0" fontId="78" fillId="0" borderId="38" xfId="121" applyFont="1" applyBorder="1" applyAlignment="1">
      <alignment horizontal="left" vertical="center"/>
    </xf>
    <xf numFmtId="0" fontId="78" fillId="0" borderId="39" xfId="121" applyFont="1" applyBorder="1" applyAlignment="1">
      <alignment horizontal="left" vertical="center"/>
    </xf>
    <xf numFmtId="0" fontId="81" fillId="0" borderId="0" xfId="121" applyFont="1" applyAlignment="1">
      <alignment horizontal="center" vertical="center" wrapText="1"/>
    </xf>
    <xf numFmtId="0" fontId="76" fillId="0" borderId="0" xfId="133" applyFont="1" applyFill="1" applyBorder="1" applyAlignment="1">
      <alignment horizontal="center" vertical="top"/>
    </xf>
    <xf numFmtId="0" fontId="76" fillId="0" borderId="16" xfId="133" applyFont="1" applyFill="1" applyBorder="1" applyAlignment="1">
      <alignment horizontal="center" vertical="top"/>
    </xf>
    <xf numFmtId="0" fontId="58" fillId="0" borderId="17" xfId="133" applyFont="1" applyBorder="1" applyAlignment="1">
      <alignment horizontal="left" vertical="center" wrapText="1"/>
    </xf>
    <xf numFmtId="0" fontId="58" fillId="0" borderId="21" xfId="133" applyFont="1" applyBorder="1" applyAlignment="1">
      <alignment horizontal="center" vertical="center" wrapText="1"/>
    </xf>
    <xf numFmtId="0" fontId="58" fillId="0" borderId="41" xfId="133" applyFont="1" applyBorder="1" applyAlignment="1">
      <alignment horizontal="center" vertical="center" wrapText="1"/>
    </xf>
    <xf numFmtId="0" fontId="58" fillId="0" borderId="37" xfId="133" applyFont="1" applyBorder="1" applyAlignment="1">
      <alignment horizontal="center" vertical="center" wrapText="1"/>
    </xf>
    <xf numFmtId="0" fontId="87" fillId="0" borderId="0" xfId="121" applyFont="1" applyAlignment="1">
      <alignment horizontal="center" vertical="center" wrapText="1"/>
    </xf>
    <xf numFmtId="0" fontId="87" fillId="0" borderId="16" xfId="121" applyFont="1" applyBorder="1" applyAlignment="1">
      <alignment horizontal="center" vertical="center" wrapText="1"/>
    </xf>
    <xf numFmtId="0" fontId="85" fillId="0" borderId="30" xfId="121" applyFont="1" applyBorder="1" applyAlignment="1">
      <alignment horizontal="center" vertical="center" wrapText="1"/>
    </xf>
    <xf numFmtId="0" fontId="85" fillId="0" borderId="38" xfId="121" applyFont="1" applyBorder="1" applyAlignment="1">
      <alignment horizontal="center" vertical="center" wrapText="1"/>
    </xf>
    <xf numFmtId="0" fontId="85" fillId="0" borderId="39" xfId="121" applyFont="1" applyBorder="1" applyAlignment="1">
      <alignment horizontal="center" vertical="center" wrapText="1"/>
    </xf>
    <xf numFmtId="0" fontId="101" fillId="0" borderId="18" xfId="121" applyFont="1" applyBorder="1" applyAlignment="1">
      <alignment horizontal="left" vertical="center" wrapText="1"/>
    </xf>
    <xf numFmtId="0" fontId="101" fillId="0" borderId="19" xfId="121" applyFont="1" applyBorder="1" applyAlignment="1">
      <alignment horizontal="left" vertical="center" wrapText="1"/>
    </xf>
    <xf numFmtId="0" fontId="14" fillId="0" borderId="21" xfId="121" applyFont="1" applyBorder="1" applyAlignment="1">
      <alignment horizontal="center" vertical="center" wrapText="1"/>
    </xf>
    <xf numFmtId="0" fontId="14" fillId="0" borderId="37" xfId="121" applyFont="1" applyBorder="1" applyAlignment="1">
      <alignment horizontal="center" vertical="center" wrapText="1"/>
    </xf>
    <xf numFmtId="0" fontId="9" fillId="0" borderId="0" xfId="121" applyFont="1" applyAlignment="1">
      <alignment horizontal="left" vertical="center" wrapText="1"/>
    </xf>
    <xf numFmtId="0" fontId="13" fillId="0" borderId="0" xfId="121" applyFont="1" applyAlignment="1">
      <alignment horizontal="left" vertical="center" wrapText="1"/>
    </xf>
    <xf numFmtId="0" fontId="108" fillId="0" borderId="30" xfId="121" applyFont="1" applyBorder="1" applyAlignment="1">
      <alignment horizontal="center" vertical="center" wrapText="1"/>
    </xf>
    <xf numFmtId="0" fontId="108" fillId="0" borderId="38" xfId="121" applyFont="1" applyBorder="1" applyAlignment="1">
      <alignment horizontal="center" vertical="center" wrapText="1"/>
    </xf>
    <xf numFmtId="0" fontId="108" fillId="0" borderId="39" xfId="121" applyFont="1" applyBorder="1" applyAlignment="1">
      <alignment horizontal="center" vertical="center" wrapText="1"/>
    </xf>
    <xf numFmtId="0" fontId="100" fillId="0" borderId="0" xfId="121" applyFont="1" applyAlignment="1">
      <alignment horizontal="center" wrapText="1"/>
    </xf>
    <xf numFmtId="0" fontId="104" fillId="0" borderId="0" xfId="121" applyFont="1" applyAlignment="1">
      <alignment horizontal="center" vertical="center" wrapText="1"/>
    </xf>
    <xf numFmtId="0" fontId="89" fillId="0" borderId="0" xfId="121" applyFont="1" applyAlignment="1">
      <alignment horizontal="left" vertical="center" wrapText="1"/>
    </xf>
    <xf numFmtId="0" fontId="94" fillId="0" borderId="0" xfId="121" applyFont="1" applyAlignment="1">
      <alignment horizontal="center" wrapText="1"/>
    </xf>
    <xf numFmtId="0" fontId="81" fillId="0" borderId="15" xfId="121" applyFont="1" applyBorder="1" applyAlignment="1">
      <alignment horizontal="center" vertical="center" wrapText="1"/>
    </xf>
    <xf numFmtId="0" fontId="79" fillId="0" borderId="13" xfId="121" applyFont="1" applyBorder="1" applyAlignment="1">
      <alignment horizontal="center" vertical="center" wrapText="1"/>
    </xf>
    <xf numFmtId="0" fontId="85" fillId="0" borderId="18" xfId="121" applyFont="1" applyBorder="1" applyAlignment="1">
      <alignment horizontal="center" vertical="center" wrapText="1"/>
    </xf>
    <xf numFmtId="0" fontId="79" fillId="0" borderId="18" xfId="121" applyFont="1" applyBorder="1" applyAlignment="1">
      <alignment horizontal="center" vertical="center" wrapText="1"/>
    </xf>
    <xf numFmtId="0" fontId="79" fillId="0" borderId="30" xfId="121" applyFont="1" applyBorder="1" applyAlignment="1">
      <alignment horizontal="center" vertical="center" wrapText="1"/>
    </xf>
    <xf numFmtId="0" fontId="79" fillId="0" borderId="19" xfId="121" applyFont="1" applyBorder="1" applyAlignment="1">
      <alignment horizontal="center" vertical="center" wrapText="1"/>
    </xf>
    <xf numFmtId="0" fontId="83" fillId="0" borderId="0" xfId="121" applyFont="1" applyAlignment="1">
      <alignment horizontal="center" vertical="center" wrapText="1"/>
    </xf>
    <xf numFmtId="0" fontId="85" fillId="0" borderId="27" xfId="121" applyFont="1" applyBorder="1" applyAlignment="1">
      <alignment horizontal="center" vertical="center" wrapText="1"/>
    </xf>
    <xf numFmtId="41" fontId="79" fillId="0" borderId="18" xfId="121" applyNumberFormat="1" applyFont="1" applyBorder="1" applyAlignment="1">
      <alignment horizontal="center" vertical="center" wrapText="1"/>
    </xf>
    <xf numFmtId="0" fontId="81" fillId="0" borderId="16" xfId="121" applyFont="1" applyBorder="1" applyAlignment="1">
      <alignment horizontal="center" vertical="center" wrapText="1"/>
    </xf>
    <xf numFmtId="0" fontId="89" fillId="0" borderId="16" xfId="121" applyFont="1" applyBorder="1" applyAlignment="1">
      <alignment vertical="center" wrapText="1"/>
    </xf>
    <xf numFmtId="0" fontId="79" fillId="0" borderId="0" xfId="121" applyFont="1" applyAlignment="1">
      <alignment horizontal="center" vertical="center" wrapText="1"/>
    </xf>
    <xf numFmtId="0" fontId="87" fillId="0" borderId="15" xfId="121" applyFont="1" applyBorder="1" applyAlignment="1">
      <alignment horizontal="center" vertical="center" wrapText="1"/>
    </xf>
    <xf numFmtId="0" fontId="88" fillId="0" borderId="0" xfId="121" applyFont="1" applyAlignment="1">
      <alignment horizontal="center" vertical="center" wrapText="1"/>
    </xf>
    <xf numFmtId="0" fontId="88" fillId="0" borderId="16" xfId="121" applyFont="1" applyBorder="1" applyAlignment="1">
      <alignment horizontal="center" vertical="center" wrapText="1"/>
    </xf>
    <xf numFmtId="0" fontId="99" fillId="0" borderId="15" xfId="121" applyFont="1" applyBorder="1" applyAlignment="1">
      <alignment vertical="center" wrapText="1"/>
    </xf>
    <xf numFmtId="0" fontId="99" fillId="0" borderId="0" xfId="121" applyFont="1" applyAlignment="1">
      <alignment vertical="center" wrapText="1"/>
    </xf>
    <xf numFmtId="0" fontId="79" fillId="0" borderId="21" xfId="121" applyFont="1" applyBorder="1" applyAlignment="1">
      <alignment horizontal="center" vertical="center" wrapText="1"/>
    </xf>
    <xf numFmtId="0" fontId="14" fillId="0" borderId="22" xfId="121" applyFont="1" applyBorder="1" applyAlignment="1">
      <alignment horizontal="center" vertical="center" wrapText="1"/>
    </xf>
    <xf numFmtId="0" fontId="14" fillId="0" borderId="40" xfId="121" applyFont="1" applyBorder="1" applyAlignment="1">
      <alignment horizontal="center" vertical="center" wrapText="1"/>
    </xf>
  </cellXfs>
  <cellStyles count="142">
    <cellStyle name="Comma" xfId="122" builtinId="3"/>
    <cellStyle name="Comma [0] 2" xfId="5"/>
    <cellStyle name="Comma 10" xfId="6"/>
    <cellStyle name="Comma 11" xfId="7"/>
    <cellStyle name="Comma 12" xfId="8"/>
    <cellStyle name="Comma 12 2" xfId="9"/>
    <cellStyle name="Comma 13" xfId="10"/>
    <cellStyle name="Comma 13 2" xfId="11"/>
    <cellStyle name="Comma 14" xfId="12"/>
    <cellStyle name="Comma 15" xfId="13"/>
    <cellStyle name="Comma 16" xfId="14"/>
    <cellStyle name="Comma 17" xfId="15"/>
    <cellStyle name="Comma 18" xfId="16"/>
    <cellStyle name="Comma 19" xfId="17"/>
    <cellStyle name="Comma 2" xfId="4"/>
    <cellStyle name="Comma 2 2" xfId="18"/>
    <cellStyle name="Comma 2 2 2" xfId="19"/>
    <cellStyle name="Comma 2 3" xfId="20"/>
    <cellStyle name="Comma 2 4" xfId="21"/>
    <cellStyle name="Comma 2 5" xfId="22"/>
    <cellStyle name="Comma 20" xfId="23"/>
    <cellStyle name="Comma 21" xfId="24"/>
    <cellStyle name="Comma 22" xfId="25"/>
    <cellStyle name="Comma 23" xfId="26"/>
    <cellStyle name="Comma 24" xfId="27"/>
    <cellStyle name="Comma 25" xfId="28"/>
    <cellStyle name="Comma 26" xfId="29"/>
    <cellStyle name="Comma 27" xfId="129"/>
    <cellStyle name="Comma 28" xfId="132"/>
    <cellStyle name="Comma 29" xfId="136"/>
    <cellStyle name="Comma 3" xfId="30"/>
    <cellStyle name="Comma 3 2" xfId="31"/>
    <cellStyle name="Comma 3 3" xfId="32"/>
    <cellStyle name="Comma 30" xfId="139"/>
    <cellStyle name="Comma 31" xfId="140"/>
    <cellStyle name="Comma 4" xfId="33"/>
    <cellStyle name="Comma 5" xfId="34"/>
    <cellStyle name="Comma 5 2" xfId="35"/>
    <cellStyle name="Comma 5 3" xfId="36"/>
    <cellStyle name="Comma 5 3 2" xfId="37"/>
    <cellStyle name="Comma 5 4" xfId="38"/>
    <cellStyle name="Comma 5 4 2" xfId="39"/>
    <cellStyle name="Comma 6" xfId="40"/>
    <cellStyle name="Comma 6 2" xfId="41"/>
    <cellStyle name="Comma 6 3" xfId="42"/>
    <cellStyle name="Comma 7" xfId="43"/>
    <cellStyle name="Comma 8" xfId="44"/>
    <cellStyle name="Comma 8 2" xfId="45"/>
    <cellStyle name="Comma 9" xfId="46"/>
    <cellStyle name="Comma 9 2" xfId="47"/>
    <cellStyle name="Hyperlink" xfId="141" builtinId="8"/>
    <cellStyle name="Normal" xfId="0" builtinId="0"/>
    <cellStyle name="Normal 10" xfId="48"/>
    <cellStyle name="Normal 10 2" xfId="49"/>
    <cellStyle name="Normal 11" xfId="50"/>
    <cellStyle name="Normal 11 2" xfId="51"/>
    <cellStyle name="Normal 12" xfId="52"/>
    <cellStyle name="Normal 13" xfId="53"/>
    <cellStyle name="Normal 13 2" xfId="54"/>
    <cellStyle name="Normal 14" xfId="55"/>
    <cellStyle name="Normal 15" xfId="56"/>
    <cellStyle name="Normal 15 2" xfId="57"/>
    <cellStyle name="Normal 16" xfId="58"/>
    <cellStyle name="Normal 17" xfId="59"/>
    <cellStyle name="Normal 18" xfId="60"/>
    <cellStyle name="Normal 19" xfId="61"/>
    <cellStyle name="Normal 2" xfId="1"/>
    <cellStyle name="Normal 2 2" xfId="2"/>
    <cellStyle name="Normal 2 2 2" xfId="62"/>
    <cellStyle name="Normal 2 2 2 2" xfId="63"/>
    <cellStyle name="Normal 2 2 3" xfId="64"/>
    <cellStyle name="Normal 2 2 4" xfId="65"/>
    <cellStyle name="Normal 2 2 5" xfId="131"/>
    <cellStyle name="Normal 2 2_KTPS COD 1.11.2012" xfId="66"/>
    <cellStyle name="Normal 2 3" xfId="67"/>
    <cellStyle name="Normal 2 4" xfId="68"/>
    <cellStyle name="Normal 2 5" xfId="69"/>
    <cellStyle name="Normal 2 5 2" xfId="70"/>
    <cellStyle name="Normal 2 6" xfId="71"/>
    <cellStyle name="Normal 2 7" xfId="72"/>
    <cellStyle name="Normal 2 8" xfId="127"/>
    <cellStyle name="Normal 2 9" xfId="133"/>
    <cellStyle name="Normal 2_IDC( Notional)" xfId="73"/>
    <cellStyle name="Normal 20" xfId="74"/>
    <cellStyle name="Normal 21" xfId="75"/>
    <cellStyle name="Normal 22" xfId="121"/>
    <cellStyle name="Normal 22 2" xfId="137"/>
    <cellStyle name="Normal 23" xfId="123"/>
    <cellStyle name="Normal 24" xfId="125"/>
    <cellStyle name="Normal 25" xfId="126"/>
    <cellStyle name="Normal 26" xfId="128"/>
    <cellStyle name="Normal 27" xfId="134"/>
    <cellStyle name="Normal 28" xfId="135"/>
    <cellStyle name="Normal 3" xfId="76"/>
    <cellStyle name="Normal 3 10" xfId="138"/>
    <cellStyle name="Normal 3 2" xfId="77"/>
    <cellStyle name="Normal 3 3" xfId="78"/>
    <cellStyle name="Normal 3 4" xfId="79"/>
    <cellStyle name="Normal 3 5" xfId="80"/>
    <cellStyle name="Normal 3 6" xfId="81"/>
    <cellStyle name="Normal 3 6 2" xfId="82"/>
    <cellStyle name="Normal 3 6 3" xfId="83"/>
    <cellStyle name="Normal 3 7" xfId="84"/>
    <cellStyle name="Normal 3 8" xfId="85"/>
    <cellStyle name="Normal 3 9" xfId="130"/>
    <cellStyle name="Normal 3_Reconciliation of Cash&amp; Expdated 09.02.2012.xls" xfId="86"/>
    <cellStyle name="Normal 4" xfId="87"/>
    <cellStyle name="Normal 4 2" xfId="88"/>
    <cellStyle name="Normal 4 3" xfId="89"/>
    <cellStyle name="Normal 5" xfId="90"/>
    <cellStyle name="Normal 5 2" xfId="91"/>
    <cellStyle name="Normal 6" xfId="92"/>
    <cellStyle name="Normal 6 2" xfId="93"/>
    <cellStyle name="Normal 6 3" xfId="94"/>
    <cellStyle name="Normal 6 4" xfId="95"/>
    <cellStyle name="Normal 6 4 2" xfId="96"/>
    <cellStyle name="Normal 7" xfId="97"/>
    <cellStyle name="Normal 7 2" xfId="98"/>
    <cellStyle name="Normal 7 3" xfId="99"/>
    <cellStyle name="Normal 7 3 2" xfId="100"/>
    <cellStyle name="Normal 7 3 2 2" xfId="101"/>
    <cellStyle name="Normal 7 4" xfId="102"/>
    <cellStyle name="Normal 7 4 2" xfId="103"/>
    <cellStyle name="Normal 8" xfId="104"/>
    <cellStyle name="Normal 8 2" xfId="105"/>
    <cellStyle name="Normal 8 2 2" xfId="106"/>
    <cellStyle name="Normal 8 2 2 2" xfId="107"/>
    <cellStyle name="Normal 9" xfId="108"/>
    <cellStyle name="Normal 9 2" xfId="109"/>
    <cellStyle name="Percent" xfId="124" builtinId="5"/>
    <cellStyle name="Percent 2" xfId="3"/>
    <cellStyle name="Percent 2 2" xfId="110"/>
    <cellStyle name="Percent 2 2 2" xfId="111"/>
    <cellStyle name="Percent 2 3" xfId="112"/>
    <cellStyle name="Percent 3" xfId="113"/>
    <cellStyle name="Percent 4" xfId="114"/>
    <cellStyle name="Percent 5" xfId="115"/>
    <cellStyle name="Percent 5 2" xfId="116"/>
    <cellStyle name="Percent 5 3" xfId="117"/>
    <cellStyle name="Percent 5 3 2" xfId="118"/>
    <cellStyle name="Percent 6" xfId="119"/>
    <cellStyle name="Percent 7" xfId="120"/>
  </cellStyles>
  <dxfs count="0"/>
  <tableStyles count="0" defaultTableStyle="TableStyleMedium9" defaultPivotStyle="PivotStyleLight16"/>
  <colors>
    <mruColors>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oneCell">
    <xdr:from>
      <xdr:col>2</xdr:col>
      <xdr:colOff>16260</xdr:colOff>
      <xdr:row>9</xdr:row>
      <xdr:rowOff>0</xdr:rowOff>
    </xdr:from>
    <xdr:to>
      <xdr:col>4</xdr:col>
      <xdr:colOff>397895</xdr:colOff>
      <xdr:row>9</xdr:row>
      <xdr:rowOff>0</xdr:rowOff>
    </xdr:to>
    <xdr:sp macro="" textlink="">
      <xdr:nvSpPr>
        <xdr:cNvPr id="5" name="Shape 5">
          <a:extLst>
            <a:ext uri="{FF2B5EF4-FFF2-40B4-BE49-F238E27FC236}">
              <a16:creationId xmlns="" xmlns:a16="http://schemas.microsoft.com/office/drawing/2014/main" id="{00000000-0008-0000-0600-000005000000}"/>
            </a:ext>
          </a:extLst>
        </xdr:cNvPr>
        <xdr:cNvSpPr/>
      </xdr:nvSpPr>
      <xdr:spPr>
        <a:xfrm>
          <a:off x="0" y="0"/>
          <a:ext cx="2374265" cy="0"/>
        </a:xfrm>
        <a:custGeom>
          <a:avLst/>
          <a:gdLst/>
          <a:ahLst/>
          <a:cxnLst/>
          <a:rect l="0" t="0" r="0" b="0"/>
          <a:pathLst>
            <a:path w="2374265">
              <a:moveTo>
                <a:pt x="0" y="0"/>
              </a:moveTo>
              <a:lnTo>
                <a:pt x="2373731" y="0"/>
              </a:lnTo>
            </a:path>
          </a:pathLst>
        </a:custGeom>
        <a:ln w="7104">
          <a:solidFill>
            <a:srgbClr val="000000"/>
          </a:solidFill>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8248</xdr:colOff>
      <xdr:row>0</xdr:row>
      <xdr:rowOff>433219</xdr:rowOff>
    </xdr:from>
    <xdr:to>
      <xdr:col>6</xdr:col>
      <xdr:colOff>260343</xdr:colOff>
      <xdr:row>0</xdr:row>
      <xdr:rowOff>433219</xdr:rowOff>
    </xdr:to>
    <xdr:sp macro="" textlink="">
      <xdr:nvSpPr>
        <xdr:cNvPr id="6" name="Shape 6">
          <a:extLst>
            <a:ext uri="{FF2B5EF4-FFF2-40B4-BE49-F238E27FC236}">
              <a16:creationId xmlns="" xmlns:a16="http://schemas.microsoft.com/office/drawing/2014/main" id="{00000000-0008-0000-0900-000006000000}"/>
            </a:ext>
          </a:extLst>
        </xdr:cNvPr>
        <xdr:cNvSpPr/>
      </xdr:nvSpPr>
      <xdr:spPr>
        <a:xfrm>
          <a:off x="0" y="0"/>
          <a:ext cx="1486535" cy="0"/>
        </a:xfrm>
        <a:custGeom>
          <a:avLst/>
          <a:gdLst/>
          <a:ahLst/>
          <a:cxnLst/>
          <a:rect l="0" t="0" r="0" b="0"/>
          <a:pathLst>
            <a:path w="1486535">
              <a:moveTo>
                <a:pt x="0" y="0"/>
              </a:moveTo>
              <a:lnTo>
                <a:pt x="1486232" y="0"/>
              </a:lnTo>
            </a:path>
          </a:pathLst>
        </a:custGeom>
        <a:ln w="4416">
          <a:solidFill>
            <a:srgbClr val="000000"/>
          </a:solidFill>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9789</xdr:colOff>
      <xdr:row>0</xdr:row>
      <xdr:rowOff>480576</xdr:rowOff>
    </xdr:from>
    <xdr:to>
      <xdr:col>5</xdr:col>
      <xdr:colOff>284744</xdr:colOff>
      <xdr:row>0</xdr:row>
      <xdr:rowOff>480576</xdr:rowOff>
    </xdr:to>
    <xdr:sp macro="" textlink="">
      <xdr:nvSpPr>
        <xdr:cNvPr id="7" name="Shape 7">
          <a:extLst>
            <a:ext uri="{FF2B5EF4-FFF2-40B4-BE49-F238E27FC236}">
              <a16:creationId xmlns="" xmlns:a16="http://schemas.microsoft.com/office/drawing/2014/main" id="{00000000-0008-0000-0A00-000007000000}"/>
            </a:ext>
          </a:extLst>
        </xdr:cNvPr>
        <xdr:cNvSpPr/>
      </xdr:nvSpPr>
      <xdr:spPr>
        <a:xfrm>
          <a:off x="0" y="0"/>
          <a:ext cx="1664970" cy="0"/>
        </a:xfrm>
        <a:custGeom>
          <a:avLst/>
          <a:gdLst/>
          <a:ahLst/>
          <a:cxnLst/>
          <a:rect l="0" t="0" r="0" b="0"/>
          <a:pathLst>
            <a:path w="1664970">
              <a:moveTo>
                <a:pt x="0" y="0"/>
              </a:moveTo>
              <a:lnTo>
                <a:pt x="1664451" y="0"/>
              </a:lnTo>
            </a:path>
          </a:pathLst>
        </a:custGeom>
        <a:ln w="4896">
          <a:solidFill>
            <a:srgbClr val="000000"/>
          </a:solidFill>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11421</xdr:colOff>
      <xdr:row>0</xdr:row>
      <xdr:rowOff>382278</xdr:rowOff>
    </xdr:from>
    <xdr:to>
      <xdr:col>8</xdr:col>
      <xdr:colOff>461001</xdr:colOff>
      <xdr:row>0</xdr:row>
      <xdr:rowOff>382278</xdr:rowOff>
    </xdr:to>
    <xdr:sp macro="" textlink="">
      <xdr:nvSpPr>
        <xdr:cNvPr id="8" name="Shape 8">
          <a:extLst>
            <a:ext uri="{FF2B5EF4-FFF2-40B4-BE49-F238E27FC236}">
              <a16:creationId xmlns="" xmlns:a16="http://schemas.microsoft.com/office/drawing/2014/main" id="{00000000-0008-0000-0B00-000008000000}"/>
            </a:ext>
          </a:extLst>
        </xdr:cNvPr>
        <xdr:cNvSpPr/>
      </xdr:nvSpPr>
      <xdr:spPr>
        <a:xfrm>
          <a:off x="0" y="0"/>
          <a:ext cx="1664970" cy="0"/>
        </a:xfrm>
        <a:custGeom>
          <a:avLst/>
          <a:gdLst/>
          <a:ahLst/>
          <a:cxnLst/>
          <a:rect l="0" t="0" r="0" b="0"/>
          <a:pathLst>
            <a:path w="1664970">
              <a:moveTo>
                <a:pt x="0" y="0"/>
              </a:moveTo>
              <a:lnTo>
                <a:pt x="1664451" y="0"/>
              </a:lnTo>
            </a:path>
          </a:pathLst>
        </a:custGeom>
        <a:ln w="4896">
          <a:solidFill>
            <a:srgbClr val="000000"/>
          </a:solidFill>
        </a:ln>
      </xdr:spPr>
    </xdr:sp>
    <xdr:clientData/>
  </xdr:twoCellAnchor>
  <xdr:twoCellAnchor editAs="oneCell">
    <xdr:from>
      <xdr:col>5</xdr:col>
      <xdr:colOff>11421</xdr:colOff>
      <xdr:row>0</xdr:row>
      <xdr:rowOff>578873</xdr:rowOff>
    </xdr:from>
    <xdr:to>
      <xdr:col>8</xdr:col>
      <xdr:colOff>461001</xdr:colOff>
      <xdr:row>0</xdr:row>
      <xdr:rowOff>578873</xdr:rowOff>
    </xdr:to>
    <xdr:sp macro="" textlink="">
      <xdr:nvSpPr>
        <xdr:cNvPr id="9" name="Shape 9">
          <a:extLst>
            <a:ext uri="{FF2B5EF4-FFF2-40B4-BE49-F238E27FC236}">
              <a16:creationId xmlns="" xmlns:a16="http://schemas.microsoft.com/office/drawing/2014/main" id="{00000000-0008-0000-0B00-000009000000}"/>
            </a:ext>
          </a:extLst>
        </xdr:cNvPr>
        <xdr:cNvSpPr/>
      </xdr:nvSpPr>
      <xdr:spPr>
        <a:xfrm>
          <a:off x="0" y="0"/>
          <a:ext cx="1664970" cy="0"/>
        </a:xfrm>
        <a:custGeom>
          <a:avLst/>
          <a:gdLst/>
          <a:ahLst/>
          <a:cxnLst/>
          <a:rect l="0" t="0" r="0" b="0"/>
          <a:pathLst>
            <a:path w="1664970">
              <a:moveTo>
                <a:pt x="0" y="0"/>
              </a:moveTo>
              <a:lnTo>
                <a:pt x="1664451" y="0"/>
              </a:lnTo>
            </a:path>
          </a:pathLst>
        </a:custGeom>
        <a:ln w="4896">
          <a:solidFill>
            <a:srgbClr val="000000"/>
          </a:solidFill>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3552</xdr:rowOff>
    </xdr:from>
    <xdr:to>
      <xdr:col>6</xdr:col>
      <xdr:colOff>108584</xdr:colOff>
      <xdr:row>4</xdr:row>
      <xdr:rowOff>3552</xdr:rowOff>
    </xdr:to>
    <xdr:sp macro="" textlink="">
      <xdr:nvSpPr>
        <xdr:cNvPr id="12" name="Shape 12">
          <a:extLst>
            <a:ext uri="{FF2B5EF4-FFF2-40B4-BE49-F238E27FC236}">
              <a16:creationId xmlns="" xmlns:a16="http://schemas.microsoft.com/office/drawing/2014/main" id="{00000000-0008-0000-0D00-00000C000000}"/>
            </a:ext>
          </a:extLst>
        </xdr:cNvPr>
        <xdr:cNvSpPr/>
      </xdr:nvSpPr>
      <xdr:spPr>
        <a:xfrm>
          <a:off x="0" y="0"/>
          <a:ext cx="1852295" cy="0"/>
        </a:xfrm>
        <a:custGeom>
          <a:avLst/>
          <a:gdLst/>
          <a:ahLst/>
          <a:cxnLst/>
          <a:rect l="0" t="0" r="0" b="0"/>
          <a:pathLst>
            <a:path w="1852295">
              <a:moveTo>
                <a:pt x="0" y="0"/>
              </a:moveTo>
              <a:lnTo>
                <a:pt x="1852007" y="0"/>
              </a:lnTo>
            </a:path>
          </a:pathLst>
        </a:custGeom>
        <a:ln w="7104">
          <a:solidFill>
            <a:srgbClr val="000000"/>
          </a:solid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ingareni/INternal%20worksheets/From%20salman/NTPC%20Impairment%20Model%202014-19%20-%20v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Projects\Singareni\INternal%20worksheets\From%20salman\NTPC%20Impairment%20Model%202014-19%20-%20v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Singareni/Financial%20Model/copy%20pasted%20valu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Projects\Singareni\Financial%20Model\copy%20pasted%20valu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p/Downloads/Energy%20charges%20&amp;%20Break-up%20of%20fuel%20price%20FY%202019-22%20TSERC%2006.09.202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etition/ARR%20and%20Tariff%20form%202019-24%20new%20calculation%2025.10.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unds4/Downloads/ARR%20and%20Tariff%20form%202019-24%20new%20calculation%2023.09.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hp/Downloads/Mid%20term%20review/O&amp;M%20dept/MTP/High%20value%20spares%20consum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en%20Drive/Commercial/RTPS/BPK%20Final%20RTPS%20Tariff%20Petn%2030.09.2015%20(COD%20on%20%2031.12.15)-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ming"/>
      <sheetName val="CERC Guidelines 2014-19"/>
      <sheetName val="Allocation of shared assets"/>
      <sheetName val="Summary"/>
      <sheetName val="Inputs"/>
      <sheetName val="Korba"/>
      <sheetName val="Singrauli"/>
      <sheetName val="Rihand"/>
      <sheetName val="Unchahar"/>
      <sheetName val="Tanda"/>
      <sheetName val="Badarpur"/>
      <sheetName val="NCTPP"/>
      <sheetName val="Auriya"/>
      <sheetName val="Anta"/>
      <sheetName val="Dadri"/>
      <sheetName val="Faridabad"/>
      <sheetName val="Vindhyachal-1"/>
      <sheetName val="Sipat"/>
      <sheetName val="Kawas"/>
      <sheetName val="Gandhar"/>
      <sheetName val="Farakha"/>
      <sheetName val="Kahalgaon"/>
      <sheetName val="Talcher-K"/>
      <sheetName val="TTPS"/>
      <sheetName val="Ramagundam"/>
      <sheetName val="Kayamkulam"/>
      <sheetName val="Simadri"/>
      <sheetName val="Mauda"/>
    </sheetNames>
    <sheetDataSet>
      <sheetData sheetId="0"/>
      <sheetData sheetId="1"/>
      <sheetData sheetId="2"/>
      <sheetData sheetId="3"/>
      <sheetData sheetId="4">
        <row r="26">
          <cell r="G26">
            <v>12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iming"/>
      <sheetName val="CERC Guidelines 2014-19"/>
      <sheetName val="Allocation of shared assets"/>
      <sheetName val="Summary"/>
      <sheetName val="Inputs"/>
      <sheetName val="Korba"/>
      <sheetName val="Singrauli"/>
      <sheetName val="Rihand"/>
      <sheetName val="Unchahar"/>
      <sheetName val="Tanda"/>
      <sheetName val="Badarpur"/>
      <sheetName val="NCTPP"/>
      <sheetName val="Auriya"/>
      <sheetName val="Anta"/>
      <sheetName val="Dadri"/>
      <sheetName val="Faridabad"/>
      <sheetName val="Vindhyachal-1"/>
      <sheetName val="Sipat"/>
      <sheetName val="Kawas"/>
      <sheetName val="Gandhar"/>
      <sheetName val="Farakha"/>
      <sheetName val="Kahalgaon"/>
      <sheetName val="Talcher-K"/>
      <sheetName val="TTPS"/>
      <sheetName val="Ramagundam"/>
      <sheetName val="Kayamkulam"/>
      <sheetName val="Simadri"/>
      <sheetName val="Mauda"/>
    </sheetNames>
    <sheetDataSet>
      <sheetData sheetId="0"/>
      <sheetData sheetId="1"/>
      <sheetData sheetId="2"/>
      <sheetData sheetId="3"/>
      <sheetData sheetId="4">
        <row r="26">
          <cell r="G26">
            <v>12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preciation Sch"/>
      <sheetName val="Input Sheet"/>
      <sheetName val="Calculations"/>
      <sheetName val="Sheet1"/>
      <sheetName val="copy pasted values"/>
    </sheetNames>
    <definedNames>
      <definedName name="Header1" refersTo="#REF!"/>
    </definedNames>
    <sheetDataSet>
      <sheetData sheetId="0"/>
      <sheetData sheetId="1"/>
      <sheetData sheetId="2"/>
      <sheetData sheetId="3"/>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preciation Sch"/>
      <sheetName val="Input Sheet"/>
      <sheetName val="Calculations"/>
      <sheetName val="Sheet1"/>
      <sheetName val="copy pasted values"/>
    </sheetNames>
    <definedNames>
      <definedName name="Header1" refersTo="#REF!"/>
    </definedNames>
    <sheetDataSet>
      <sheetData sheetId="0"/>
      <sheetData sheetId="1"/>
      <sheetData sheetId="2"/>
      <sheetData sheetId="3"/>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nergy Charges"/>
      <sheetName val="2019-20"/>
      <sheetName val="2020-21"/>
      <sheetName val="2021-22"/>
      <sheetName val="Break-up of Coal price"/>
      <sheetName val="Break-up of LDO price"/>
      <sheetName val="Break-up of HFO price"/>
      <sheetName val="FY 2019-20"/>
      <sheetName val="FY 2020-21"/>
      <sheetName val="FY 2021-22"/>
      <sheetName val="2016-17"/>
      <sheetName val="Sheet1"/>
      <sheetName val="Sheet2"/>
    </sheetNames>
    <sheetDataSet>
      <sheetData sheetId="0">
        <row r="83">
          <cell r="F83">
            <v>-4.9384346382230433</v>
          </cell>
          <cell r="H83">
            <v>9.9988617106034781</v>
          </cell>
          <cell r="J83">
            <v>8.3093586536160728</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itle"/>
      <sheetName val="ARR"/>
      <sheetName val="escalation"/>
      <sheetName val="Index "/>
      <sheetName val="Form 1"/>
      <sheetName val="Controllable, uncontrollable"/>
      <sheetName val="Form 2"/>
      <sheetName val="Form 3"/>
      <sheetName val="Form 5"/>
      <sheetName val="form5A"/>
      <sheetName val="Form 5B "/>
      <sheetName val="5B for text"/>
      <sheetName val="Form 6"/>
      <sheetName val="Form 7 "/>
      <sheetName val="Form-9 2019-20"/>
      <sheetName val="Form-9 2020-21"/>
      <sheetName val="Form-9 2021-22"/>
      <sheetName val="Form-11"/>
      <sheetName val="Form 5B"/>
      <sheetName val="Table 9"/>
      <sheetName val="Form 5D"/>
      <sheetName val="Table 13"/>
      <sheetName val="Depr"/>
      <sheetName val="Form 12"/>
      <sheetName val="Form 13"/>
      <sheetName val="Form 13A"/>
      <sheetName val="Form13B"/>
      <sheetName val="Form 14"/>
      <sheetName val="Form 15 Coal "/>
      <sheetName val="Form 15 oil"/>
      <sheetName val="Form 16-O&amp;M (2)"/>
      <sheetName val="Loan Refinance"/>
      <sheetName val="Energy Charges"/>
      <sheetName val="Form15 Coal "/>
      <sheetName val="Form15 OIL"/>
      <sheetName val="form5D"/>
      <sheetName val="13A sub"/>
      <sheetName val="CC_T14_old"/>
      <sheetName val="FUEL COST"/>
      <sheetName val="Incentive"/>
      <sheetName val="FGD and Nox"/>
      <sheetName val="App III -liability "/>
      <sheetName val="Water charges and filling fees"/>
      <sheetName val="App-IV input Capital cost"/>
      <sheetName val="TSERC allowance"/>
      <sheetName val="Form 5B  (2)"/>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9">
          <cell r="A9" t="str">
            <v>Name of the Company :</v>
          </cell>
          <cell r="B9" t="str">
            <v>The Singareni Collieries Company Limited</v>
          </cell>
        </row>
        <row r="11">
          <cell r="A11" t="str">
            <v>Name of the Power Station :</v>
          </cell>
          <cell r="B11" t="str">
            <v>Singareni Thermal Power Project</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itle"/>
      <sheetName val="ARR"/>
      <sheetName val="escalation"/>
      <sheetName val="Index "/>
      <sheetName val="Form 1"/>
      <sheetName val="Controllable, uncontrollable"/>
      <sheetName val="Form 2"/>
      <sheetName val="Form 3"/>
      <sheetName val="Form 5"/>
      <sheetName val="form5A"/>
      <sheetName val="Form 5B "/>
      <sheetName val="5B for text"/>
      <sheetName val="Form 6"/>
      <sheetName val="Form 7 "/>
      <sheetName val="Form-9 2019-20"/>
      <sheetName val="Form-9 2020-21"/>
      <sheetName val="Form-9 2021-22"/>
      <sheetName val="Form-11"/>
      <sheetName val="Form 5B"/>
      <sheetName val="Table 9"/>
      <sheetName val="Form 5D"/>
      <sheetName val="Table 13"/>
      <sheetName val="Depr"/>
      <sheetName val="Form 12"/>
      <sheetName val="Form 13"/>
      <sheetName val="Loan Refinance"/>
      <sheetName val="Form 13A"/>
      <sheetName val="Form13B"/>
      <sheetName val="Form 14"/>
      <sheetName val="Form 15 Coal "/>
      <sheetName val="Form 15 oil"/>
      <sheetName val="Form 16-O&amp;M (2)"/>
      <sheetName val="Energy Charges"/>
      <sheetName val="Form15 Coal "/>
      <sheetName val="Form15 OIL"/>
      <sheetName val="form5D"/>
      <sheetName val="13A sub"/>
      <sheetName val="CC_T14_old"/>
      <sheetName val="FUEL COST"/>
      <sheetName val="Incentive"/>
      <sheetName val="FGD and Nox"/>
      <sheetName val="App III -liability "/>
      <sheetName val="Water charges and filling fees"/>
      <sheetName val="App-IV input Capital cost"/>
      <sheetName val="TSERC allowance"/>
      <sheetName val="Form 5B  (2)"/>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32">
          <cell r="E32">
            <v>491</v>
          </cell>
        </row>
        <row r="43">
          <cell r="E43">
            <v>153.11000000000001</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11">
          <cell r="I11">
            <v>20359335.82</v>
          </cell>
        </row>
        <row r="21">
          <cell r="I21">
            <v>20193108.809999999</v>
          </cell>
        </row>
        <row r="47">
          <cell r="I47">
            <v>108670052.67000002</v>
          </cell>
        </row>
      </sheetData>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Index"/>
      <sheetName val="Form-1"/>
      <sheetName val="input data"/>
      <sheetName val="Form-1 (I) &amp; (II)"/>
      <sheetName val="Form-2"/>
      <sheetName val="CONSOLE"/>
      <sheetName val="Form3"/>
      <sheetName val="Form-5"/>
      <sheetName val="Form-5A "/>
      <sheetName val="Form-5B formula"/>
      <sheetName val="Form  5B"/>
      <sheetName val="Form5B"/>
      <sheetName val="Form-5D"/>
      <sheetName val="Form 5D"/>
      <sheetName val="Form5E"/>
      <sheetName val="Form6"/>
      <sheetName val="Form7"/>
      <sheetName val="Form9E"/>
      <sheetName val="Form9F"/>
      <sheetName val="Form-11 "/>
      <sheetName val="Form12"/>
      <sheetName val="Form13 "/>
      <sheetName val="Form13A"/>
      <sheetName val="Form13B"/>
      <sheetName val="Form13D"/>
      <sheetName val="Form13E"/>
      <sheetName val="Form14"/>
      <sheetName val="Form14A"/>
      <sheetName val="Form15 Coal "/>
      <sheetName val="Form15 OIL"/>
      <sheetName val="Form18"/>
      <sheetName val="Appn-2 Apportion_Com_Cost"/>
      <sheetName val="Appn-3 Apportion_p&amp;g,pay rev"/>
      <sheetName val=" Appn-4 -Addl O&amp;M"/>
      <sheetName val="Appn-I-Energy Charges"/>
      <sheetName val="Appn -6 P&amp;G"/>
      <sheetName val="Appn-7 pay rev"/>
      <sheetName val="Appn-8 Com Cost"/>
      <sheetName val="APP II(1) Alocn of SF"/>
      <sheetName val=" APP II (2) SF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3">
          <cell r="D13">
            <v>0.155</v>
          </cell>
        </row>
        <row r="17">
          <cell r="D17">
            <v>2339.784576601352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4">
          <cell r="F14">
            <v>3237.0390000000002</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F20"/>
  <sheetViews>
    <sheetView tabSelected="1" workbookViewId="0">
      <selection activeCell="H14" sqref="H14"/>
    </sheetView>
  </sheetViews>
  <sheetFormatPr defaultColWidth="9.33203125" defaultRowHeight="12.75"/>
  <cols>
    <col min="1" max="2" width="9.33203125" style="509"/>
    <col min="3" max="3" width="17.5" style="509" customWidth="1"/>
    <col min="4" max="4" width="24.33203125" style="509" customWidth="1"/>
    <col min="5" max="5" width="26" style="509" customWidth="1"/>
    <col min="6" max="16384" width="9.33203125" style="509"/>
  </cols>
  <sheetData>
    <row r="1" spans="3:5" ht="19.5" customHeight="1">
      <c r="E1" s="497" t="s">
        <v>1079</v>
      </c>
    </row>
    <row r="11" spans="3:5" ht="44.45" customHeight="1">
      <c r="C11" s="1710" t="s">
        <v>1082</v>
      </c>
      <c r="D11" s="1710"/>
      <c r="E11" s="1710"/>
    </row>
    <row r="12" spans="3:5" ht="26.25">
      <c r="C12" s="494"/>
      <c r="D12" s="494"/>
      <c r="E12" s="494"/>
    </row>
    <row r="13" spans="3:5" ht="39.6" customHeight="1">
      <c r="C13" s="1710" t="s">
        <v>754</v>
      </c>
      <c r="D13" s="1710"/>
      <c r="E13" s="1710"/>
    </row>
    <row r="14" spans="3:5" ht="26.25">
      <c r="C14" s="494"/>
      <c r="D14" s="494"/>
      <c r="E14" s="494"/>
    </row>
    <row r="15" spans="3:5" ht="58.15" customHeight="1">
      <c r="C15" s="1711" t="s">
        <v>1526</v>
      </c>
      <c r="D15" s="1711"/>
      <c r="E15" s="1711"/>
    </row>
    <row r="16" spans="3:5">
      <c r="C16" s="231"/>
      <c r="D16" s="231"/>
    </row>
    <row r="17" spans="2:6" ht="20.25">
      <c r="C17" s="1709" t="s">
        <v>755</v>
      </c>
      <c r="D17" s="1709"/>
      <c r="E17" s="1709"/>
    </row>
    <row r="18" spans="2:6" ht="20.25">
      <c r="D18" s="495"/>
    </row>
    <row r="19" spans="2:6" ht="20.25">
      <c r="B19" s="1709" t="s">
        <v>1525</v>
      </c>
      <c r="C19" s="1709"/>
      <c r="D19" s="1709"/>
      <c r="E19" s="1709"/>
      <c r="F19" s="1709"/>
    </row>
    <row r="20" spans="2:6" ht="20.25">
      <c r="D20" s="495"/>
    </row>
  </sheetData>
  <mergeCells count="5">
    <mergeCell ref="B19:F19"/>
    <mergeCell ref="C11:E11"/>
    <mergeCell ref="C15:E15"/>
    <mergeCell ref="C13:E13"/>
    <mergeCell ref="C17:E17"/>
  </mergeCells>
  <printOptions horizontalCentered="1" verticalCentered="1"/>
  <pageMargins left="0.70866141732283472" right="0.70866141732283472" top="0.74803149606299213" bottom="0.74803149606299213" header="0.31496062992125984" footer="0.31496062992125984"/>
  <pageSetup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Q89"/>
  <sheetViews>
    <sheetView zoomScale="134" zoomScaleNormal="134" workbookViewId="0">
      <selection activeCell="L67" sqref="L67"/>
    </sheetView>
  </sheetViews>
  <sheetFormatPr defaultColWidth="9.33203125" defaultRowHeight="15"/>
  <cols>
    <col min="1" max="1" width="6.5" style="1381" customWidth="1"/>
    <col min="2" max="2" width="18.83203125" style="1381" customWidth="1"/>
    <col min="3" max="3" width="18" style="1381" customWidth="1"/>
    <col min="4" max="4" width="14.1640625" style="1420" hidden="1" customWidth="1"/>
    <col min="5" max="5" width="12.33203125" style="1381" hidden="1" customWidth="1"/>
    <col min="6" max="6" width="12.1640625" style="1381" hidden="1" customWidth="1"/>
    <col min="7" max="7" width="11.6640625" style="1381" hidden="1" customWidth="1"/>
    <col min="8" max="8" width="11.5" style="1381" hidden="1" customWidth="1"/>
    <col min="9" max="10" width="12.83203125" style="1381" hidden="1" customWidth="1"/>
    <col min="11" max="11" width="14.6640625" style="1381" customWidth="1"/>
    <col min="12" max="12" width="11.5" style="1381" customWidth="1"/>
    <col min="13" max="13" width="14.83203125" style="1381" customWidth="1"/>
    <col min="14" max="14" width="12.6640625" style="1381" customWidth="1"/>
    <col min="15" max="15" width="15.1640625" style="1381" customWidth="1"/>
    <col min="16" max="16" width="11" style="1381" customWidth="1"/>
    <col min="17" max="17" width="14.6640625" style="1381" customWidth="1"/>
    <col min="18" max="16384" width="9.33203125" style="1381"/>
  </cols>
  <sheetData>
    <row r="1" spans="1:17" ht="15.75">
      <c r="A1" s="1074"/>
      <c r="B1" s="1075"/>
      <c r="C1" s="1075"/>
      <c r="D1" s="1380"/>
      <c r="E1" s="1075"/>
      <c r="F1" s="1075"/>
      <c r="G1" s="1075"/>
      <c r="H1" s="1075"/>
      <c r="I1" s="1075"/>
      <c r="J1" s="1075"/>
      <c r="K1" s="1075"/>
      <c r="L1" s="1075"/>
      <c r="M1" s="1075"/>
      <c r="N1" s="1075"/>
      <c r="O1" s="1075"/>
      <c r="P1" s="1820" t="s">
        <v>761</v>
      </c>
      <c r="Q1" s="1821"/>
    </row>
    <row r="2" spans="1:17" ht="15.75">
      <c r="A2" s="1079"/>
      <c r="B2" s="1080"/>
      <c r="C2" s="1080"/>
      <c r="D2" s="1382"/>
      <c r="E2" s="1080"/>
      <c r="F2" s="1080"/>
      <c r="G2" s="1080"/>
      <c r="H2" s="1080"/>
      <c r="I2" s="1080"/>
      <c r="J2" s="1080"/>
      <c r="K2" s="1080"/>
      <c r="L2" s="1080"/>
      <c r="M2" s="1080"/>
      <c r="N2" s="1080"/>
      <c r="O2" s="1080"/>
      <c r="P2" s="1822" t="s">
        <v>1414</v>
      </c>
      <c r="Q2" s="1823"/>
    </row>
    <row r="3" spans="1:17" ht="18" customHeight="1">
      <c r="A3" s="1824" t="s">
        <v>502</v>
      </c>
      <c r="B3" s="1825"/>
      <c r="C3" s="1825"/>
      <c r="D3" s="1825"/>
      <c r="E3" s="1825"/>
      <c r="F3" s="1825"/>
      <c r="G3" s="1825"/>
      <c r="H3" s="1825"/>
      <c r="I3" s="1825"/>
      <c r="J3" s="1825"/>
      <c r="K3" s="1825"/>
      <c r="L3" s="1825"/>
      <c r="M3" s="1825"/>
      <c r="N3" s="1825"/>
      <c r="O3" s="1825"/>
      <c r="P3" s="1825"/>
      <c r="Q3" s="1828"/>
    </row>
    <row r="4" spans="1:17" ht="15.75">
      <c r="A4" s="1617"/>
      <c r="B4" s="1084"/>
      <c r="C4" s="1084"/>
      <c r="D4" s="1084"/>
      <c r="E4" s="1084"/>
      <c r="F4" s="1084"/>
      <c r="G4" s="1084"/>
      <c r="H4" s="1084"/>
      <c r="I4" s="1084"/>
      <c r="J4" s="1084"/>
      <c r="K4" s="1080"/>
      <c r="L4" s="1080"/>
      <c r="M4" s="1080"/>
      <c r="N4" s="1080"/>
      <c r="O4" s="1080"/>
      <c r="P4" s="1080"/>
      <c r="Q4" s="1082"/>
    </row>
    <row r="5" spans="1:17" ht="15.75">
      <c r="A5" s="1824" t="s">
        <v>445</v>
      </c>
      <c r="B5" s="1825"/>
      <c r="C5" s="1825"/>
      <c r="D5" s="1623"/>
      <c r="E5" s="1825" t="s">
        <v>417</v>
      </c>
      <c r="F5" s="1825"/>
      <c r="G5" s="1825"/>
      <c r="H5" s="1825"/>
      <c r="I5" s="1825"/>
      <c r="J5" s="1825"/>
      <c r="K5" s="1825"/>
      <c r="L5" s="1825"/>
      <c r="M5" s="1825"/>
      <c r="N5" s="1825"/>
      <c r="O5" s="1825"/>
      <c r="P5" s="1825"/>
      <c r="Q5" s="1828"/>
    </row>
    <row r="6" spans="1:17" ht="15.75">
      <c r="A6" s="1824" t="s">
        <v>446</v>
      </c>
      <c r="B6" s="1825"/>
      <c r="C6" s="1825"/>
      <c r="D6" s="1623"/>
      <c r="E6" s="1825" t="s">
        <v>415</v>
      </c>
      <c r="F6" s="1825"/>
      <c r="G6" s="1825"/>
      <c r="H6" s="1825"/>
      <c r="I6" s="1825"/>
      <c r="J6" s="1825"/>
      <c r="K6" s="1825"/>
      <c r="L6" s="1825"/>
      <c r="M6" s="1825"/>
      <c r="N6" s="1825"/>
      <c r="O6" s="1825"/>
      <c r="P6" s="1825"/>
      <c r="Q6" s="1828"/>
    </row>
    <row r="7" spans="1:17" ht="19.5" customHeight="1">
      <c r="A7" s="1622"/>
      <c r="B7" s="1623"/>
      <c r="C7" s="1623"/>
      <c r="D7" s="1619"/>
      <c r="E7" s="1619"/>
      <c r="F7" s="1619"/>
      <c r="G7" s="1619"/>
      <c r="H7" s="1619"/>
      <c r="I7" s="1619"/>
      <c r="J7" s="1080"/>
      <c r="K7" s="1080"/>
      <c r="L7" s="1080"/>
      <c r="M7" s="1080"/>
      <c r="N7" s="1080"/>
      <c r="O7" s="1080"/>
      <c r="P7" s="1829" t="s">
        <v>449</v>
      </c>
      <c r="Q7" s="1830"/>
    </row>
    <row r="8" spans="1:17" ht="31.15" customHeight="1">
      <c r="A8" s="1827" t="s">
        <v>375</v>
      </c>
      <c r="B8" s="1782" t="s">
        <v>447</v>
      </c>
      <c r="C8" s="1782" t="s">
        <v>632</v>
      </c>
      <c r="D8" s="1782" t="s">
        <v>693</v>
      </c>
      <c r="E8" s="1782" t="s">
        <v>694</v>
      </c>
      <c r="F8" s="1785" t="s">
        <v>630</v>
      </c>
      <c r="G8" s="1782" t="s">
        <v>711</v>
      </c>
      <c r="H8" s="1785" t="s">
        <v>631</v>
      </c>
      <c r="I8" s="1782" t="s">
        <v>712</v>
      </c>
      <c r="J8" s="1785" t="s">
        <v>1294</v>
      </c>
      <c r="K8" s="1826" t="s">
        <v>717</v>
      </c>
      <c r="L8" s="1785" t="s">
        <v>1295</v>
      </c>
      <c r="M8" s="1826" t="s">
        <v>873</v>
      </c>
      <c r="N8" s="1785" t="s">
        <v>1296</v>
      </c>
      <c r="O8" s="1826" t="s">
        <v>874</v>
      </c>
      <c r="P8" s="1785" t="s">
        <v>1297</v>
      </c>
      <c r="Q8" s="1784" t="s">
        <v>875</v>
      </c>
    </row>
    <row r="9" spans="1:17" ht="42" customHeight="1">
      <c r="A9" s="1827"/>
      <c r="B9" s="1782"/>
      <c r="C9" s="1782"/>
      <c r="D9" s="1782"/>
      <c r="E9" s="1782"/>
      <c r="F9" s="1785"/>
      <c r="G9" s="1782"/>
      <c r="H9" s="1785"/>
      <c r="I9" s="1782"/>
      <c r="J9" s="1785"/>
      <c r="K9" s="1826"/>
      <c r="L9" s="1785"/>
      <c r="M9" s="1826"/>
      <c r="N9" s="1785"/>
      <c r="O9" s="1826"/>
      <c r="P9" s="1785"/>
      <c r="Q9" s="1784"/>
    </row>
    <row r="10" spans="1:17" ht="15.75">
      <c r="A10" s="1383">
        <v>-1</v>
      </c>
      <c r="B10" s="1384">
        <v>-2</v>
      </c>
      <c r="C10" s="1384">
        <v>-3</v>
      </c>
      <c r="D10" s="1384">
        <v>-4</v>
      </c>
      <c r="E10" s="1384">
        <v>-5</v>
      </c>
      <c r="F10" s="1384">
        <v>-6</v>
      </c>
      <c r="G10" s="1384">
        <v>-7</v>
      </c>
      <c r="H10" s="1384">
        <v>-8</v>
      </c>
      <c r="I10" s="1384">
        <v>-9</v>
      </c>
      <c r="J10" s="1384">
        <v>-10</v>
      </c>
      <c r="K10" s="1384">
        <v>-4</v>
      </c>
      <c r="L10" s="1384">
        <v>-5</v>
      </c>
      <c r="M10" s="1384">
        <v>-6</v>
      </c>
      <c r="N10" s="1384">
        <v>-7</v>
      </c>
      <c r="O10" s="1384">
        <v>-8</v>
      </c>
      <c r="P10" s="1384">
        <v>-9</v>
      </c>
      <c r="Q10" s="1421">
        <v>-10</v>
      </c>
    </row>
    <row r="11" spans="1:17" ht="15.75">
      <c r="A11" s="1618">
        <v>1</v>
      </c>
      <c r="B11" s="1098" t="s">
        <v>450</v>
      </c>
      <c r="C11" s="1098"/>
      <c r="D11" s="1385"/>
      <c r="E11" s="1098"/>
      <c r="F11" s="1098"/>
      <c r="G11" s="1098"/>
      <c r="H11" s="1098"/>
      <c r="I11" s="1098"/>
      <c r="J11" s="1098"/>
      <c r="K11" s="1386"/>
      <c r="L11" s="1094"/>
      <c r="M11" s="1094"/>
      <c r="N11" s="1094"/>
      <c r="O11" s="1094"/>
      <c r="P11" s="1094"/>
      <c r="Q11" s="1095"/>
    </row>
    <row r="12" spans="1:17" ht="14.45" customHeight="1">
      <c r="A12" s="1387">
        <v>1.1000000000000001</v>
      </c>
      <c r="B12" s="1607" t="s">
        <v>451</v>
      </c>
      <c r="C12" s="1609">
        <v>2985.56</v>
      </c>
      <c r="D12" s="1609"/>
      <c r="E12" s="1608"/>
      <c r="F12" s="1608"/>
      <c r="G12" s="1608"/>
      <c r="H12" s="1608"/>
      <c r="I12" s="1608"/>
      <c r="J12" s="1609"/>
      <c r="K12" s="1389"/>
      <c r="L12" s="1390"/>
      <c r="M12" s="1390"/>
      <c r="N12" s="1390"/>
      <c r="O12" s="1390"/>
      <c r="P12" s="1390"/>
      <c r="Q12" s="1391"/>
    </row>
    <row r="13" spans="1:17" ht="15.75">
      <c r="A13" s="1387">
        <v>1.2</v>
      </c>
      <c r="B13" s="1607" t="s">
        <v>452</v>
      </c>
      <c r="C13" s="1609">
        <v>388.03</v>
      </c>
      <c r="D13" s="1609"/>
      <c r="E13" s="1609"/>
      <c r="F13" s="1609"/>
      <c r="G13" s="1609"/>
      <c r="H13" s="1609"/>
      <c r="I13" s="1609"/>
      <c r="J13" s="1609"/>
      <c r="K13" s="1389"/>
      <c r="L13" s="1390"/>
      <c r="M13" s="1390"/>
      <c r="N13" s="1390"/>
      <c r="O13" s="1390"/>
      <c r="P13" s="1390"/>
      <c r="Q13" s="1391"/>
    </row>
    <row r="14" spans="1:17" ht="15.75">
      <c r="A14" s="1387">
        <v>1.3</v>
      </c>
      <c r="B14" s="1607" t="s">
        <v>453</v>
      </c>
      <c r="C14" s="1609">
        <v>75.7</v>
      </c>
      <c r="D14" s="1609"/>
      <c r="E14" s="1609"/>
      <c r="F14" s="1609"/>
      <c r="G14" s="1609"/>
      <c r="H14" s="1609"/>
      <c r="I14" s="1609"/>
      <c r="J14" s="1610"/>
      <c r="K14" s="1389"/>
      <c r="L14" s="1390"/>
      <c r="M14" s="1390"/>
      <c r="N14" s="1390"/>
      <c r="O14" s="1390"/>
      <c r="P14" s="1390"/>
      <c r="Q14" s="1391"/>
    </row>
    <row r="15" spans="1:17" ht="15.75">
      <c r="A15" s="1387">
        <v>1.4</v>
      </c>
      <c r="B15" s="1607" t="s">
        <v>454</v>
      </c>
      <c r="C15" s="1609">
        <v>610</v>
      </c>
      <c r="D15" s="1609"/>
      <c r="E15" s="1609"/>
      <c r="F15" s="1609"/>
      <c r="G15" s="1609"/>
      <c r="H15" s="1609"/>
      <c r="I15" s="1609"/>
      <c r="J15" s="1609"/>
      <c r="K15" s="1389"/>
      <c r="L15" s="1390"/>
      <c r="M15" s="1390"/>
      <c r="N15" s="1390"/>
      <c r="O15" s="1390"/>
      <c r="P15" s="1390"/>
      <c r="Q15" s="1391"/>
    </row>
    <row r="16" spans="1:17" ht="15.75">
      <c r="A16" s="1387">
        <v>1.5</v>
      </c>
      <c r="B16" s="1607" t="s">
        <v>455</v>
      </c>
      <c r="C16" s="1609">
        <f>SUM(C12:C15)</f>
        <v>4059.29</v>
      </c>
      <c r="D16" s="1609"/>
      <c r="E16" s="1609"/>
      <c r="F16" s="1609"/>
      <c r="G16" s="1609"/>
      <c r="H16" s="1609"/>
      <c r="I16" s="1609"/>
      <c r="J16" s="1609"/>
      <c r="K16" s="1389"/>
      <c r="L16" s="1390"/>
      <c r="M16" s="1390"/>
      <c r="N16" s="1390"/>
      <c r="O16" s="1390"/>
      <c r="P16" s="1390"/>
      <c r="Q16" s="1391"/>
    </row>
    <row r="17" spans="1:17" ht="15.75">
      <c r="A17" s="1387">
        <v>1.6</v>
      </c>
      <c r="B17" s="1607" t="s">
        <v>456</v>
      </c>
      <c r="C17" s="1609">
        <v>775</v>
      </c>
      <c r="D17" s="1609"/>
      <c r="E17" s="1609"/>
      <c r="F17" s="1609"/>
      <c r="G17" s="1609"/>
      <c r="H17" s="1609"/>
      <c r="I17" s="1609"/>
      <c r="J17" s="1609"/>
      <c r="K17" s="1389"/>
      <c r="L17" s="1390"/>
      <c r="M17" s="1390"/>
      <c r="N17" s="1390"/>
      <c r="O17" s="1390"/>
      <c r="P17" s="1390"/>
      <c r="Q17" s="1391"/>
    </row>
    <row r="18" spans="1:17" ht="31.5">
      <c r="A18" s="1387">
        <v>1.7</v>
      </c>
      <c r="B18" s="1607" t="s">
        <v>457</v>
      </c>
      <c r="C18" s="1609">
        <v>100.21</v>
      </c>
      <c r="D18" s="1609"/>
      <c r="E18" s="1609"/>
      <c r="F18" s="1609"/>
      <c r="G18" s="1609"/>
      <c r="H18" s="1609"/>
      <c r="I18" s="1609"/>
      <c r="J18" s="1609"/>
      <c r="K18" s="1389"/>
      <c r="L18" s="1390"/>
      <c r="M18" s="1390"/>
      <c r="N18" s="1390"/>
      <c r="O18" s="1390"/>
      <c r="P18" s="1390"/>
      <c r="Q18" s="1391"/>
    </row>
    <row r="19" spans="1:17" ht="31.5">
      <c r="A19" s="1618">
        <v>1.8</v>
      </c>
      <c r="B19" s="1117" t="s">
        <v>458</v>
      </c>
      <c r="C19" s="1608">
        <f>C16+C17+C18</f>
        <v>4934.5</v>
      </c>
      <c r="D19" s="1608">
        <v>4749.95</v>
      </c>
      <c r="E19" s="1608">
        <v>4781.54</v>
      </c>
      <c r="F19" s="1608">
        <f>G19-E19</f>
        <v>-9.3999999999996362</v>
      </c>
      <c r="G19" s="1608">
        <v>4772.1400000000003</v>
      </c>
      <c r="H19" s="1608">
        <f>I19-G19</f>
        <v>2.9999999997016857E-3</v>
      </c>
      <c r="I19" s="1608">
        <v>4772.143</v>
      </c>
      <c r="J19" s="1392">
        <v>77.338999999999999</v>
      </c>
      <c r="K19" s="1115">
        <f>I19+J19</f>
        <v>4849.482</v>
      </c>
      <c r="L19" s="1104">
        <v>56.75574780000079</v>
      </c>
      <c r="M19" s="1115">
        <f>K19+L19</f>
        <v>4906.2377478000008</v>
      </c>
      <c r="N19" s="1104">
        <v>13.829999999999927</v>
      </c>
      <c r="O19" s="1115">
        <f>M19+N19</f>
        <v>4920.0677478000007</v>
      </c>
      <c r="P19" s="1104">
        <v>10.047136799998952</v>
      </c>
      <c r="Q19" s="1116">
        <f>O19+P19</f>
        <v>4930.1148845999996</v>
      </c>
    </row>
    <row r="20" spans="1:17" ht="15.75">
      <c r="A20" s="1618">
        <v>2</v>
      </c>
      <c r="B20" s="1831" t="s">
        <v>459</v>
      </c>
      <c r="C20" s="1831"/>
      <c r="D20" s="1831"/>
      <c r="E20" s="1831"/>
      <c r="F20" s="1831"/>
      <c r="G20" s="1831"/>
      <c r="H20" s="1831"/>
      <c r="I20" s="1831"/>
      <c r="J20" s="1831"/>
      <c r="K20" s="1832"/>
      <c r="L20" s="1094"/>
      <c r="M20" s="1094"/>
      <c r="N20" s="1094"/>
      <c r="O20" s="1094"/>
      <c r="P20" s="1094"/>
      <c r="Q20" s="1095"/>
    </row>
    <row r="21" spans="1:17" ht="47.25" customHeight="1">
      <c r="A21" s="1387">
        <v>2.1</v>
      </c>
      <c r="B21" s="1607" t="s">
        <v>460</v>
      </c>
      <c r="C21" s="1609">
        <v>490</v>
      </c>
      <c r="D21" s="1609"/>
      <c r="E21" s="1609"/>
      <c r="F21" s="1609"/>
      <c r="G21" s="1609"/>
      <c r="H21" s="1609"/>
      <c r="I21" s="1609"/>
      <c r="J21" s="1609"/>
      <c r="K21" s="1389"/>
      <c r="L21" s="1390"/>
      <c r="M21" s="1390"/>
      <c r="N21" s="1390"/>
      <c r="O21" s="1390"/>
      <c r="P21" s="1390"/>
      <c r="Q21" s="1391"/>
    </row>
    <row r="22" spans="1:17" ht="15.75">
      <c r="A22" s="1387">
        <v>2.2000000000000002</v>
      </c>
      <c r="B22" s="1607" t="s">
        <v>461</v>
      </c>
      <c r="C22" s="1609">
        <v>340</v>
      </c>
      <c r="D22" s="1609"/>
      <c r="E22" s="1609"/>
      <c r="F22" s="1609"/>
      <c r="G22" s="1609"/>
      <c r="H22" s="1609"/>
      <c r="I22" s="1609"/>
      <c r="J22" s="1609"/>
      <c r="K22" s="1389"/>
      <c r="L22" s="1390"/>
      <c r="M22" s="1390"/>
      <c r="N22" s="1390"/>
      <c r="O22" s="1390"/>
      <c r="P22" s="1390"/>
      <c r="Q22" s="1391"/>
    </row>
    <row r="23" spans="1:17" ht="15.75">
      <c r="A23" s="1387">
        <v>2.2999999999999998</v>
      </c>
      <c r="B23" s="1607" t="s">
        <v>462</v>
      </c>
      <c r="C23" s="1609">
        <v>140</v>
      </c>
      <c r="D23" s="1609"/>
      <c r="E23" s="1609"/>
      <c r="F23" s="1609"/>
      <c r="G23" s="1609"/>
      <c r="H23" s="1609"/>
      <c r="I23" s="1609"/>
      <c r="J23" s="1609"/>
      <c r="K23" s="1389"/>
      <c r="L23" s="1390"/>
      <c r="M23" s="1390"/>
      <c r="N23" s="1390"/>
      <c r="O23" s="1390"/>
      <c r="P23" s="1390"/>
      <c r="Q23" s="1391"/>
    </row>
    <row r="24" spans="1:17" ht="15.75">
      <c r="A24" s="1387">
        <v>2.4</v>
      </c>
      <c r="B24" s="1607" t="s">
        <v>463</v>
      </c>
      <c r="C24" s="1609">
        <v>3</v>
      </c>
      <c r="D24" s="1609"/>
      <c r="E24" s="1609"/>
      <c r="F24" s="1609"/>
      <c r="G24" s="1609"/>
      <c r="H24" s="1609"/>
      <c r="I24" s="1609"/>
      <c r="J24" s="1609"/>
      <c r="K24" s="1389"/>
      <c r="L24" s="1390"/>
      <c r="M24" s="1390"/>
      <c r="N24" s="1390"/>
      <c r="O24" s="1390"/>
      <c r="P24" s="1390"/>
      <c r="Q24" s="1391"/>
    </row>
    <row r="25" spans="1:17" ht="15.75">
      <c r="A25" s="1387">
        <v>2.5</v>
      </c>
      <c r="B25" s="1607" t="s">
        <v>455</v>
      </c>
      <c r="C25" s="1609">
        <v>973</v>
      </c>
      <c r="D25" s="1609"/>
      <c r="E25" s="1609"/>
      <c r="F25" s="1609"/>
      <c r="G25" s="1609"/>
      <c r="H25" s="1609"/>
      <c r="I25" s="1609"/>
      <c r="J25" s="1609"/>
      <c r="K25" s="1389"/>
      <c r="L25" s="1390"/>
      <c r="M25" s="1390"/>
      <c r="N25" s="1390"/>
      <c r="O25" s="1390"/>
      <c r="P25" s="1390"/>
      <c r="Q25" s="1391"/>
    </row>
    <row r="26" spans="1:17" ht="15.75">
      <c r="A26" s="1387">
        <v>2.6</v>
      </c>
      <c r="B26" s="1607" t="s">
        <v>464</v>
      </c>
      <c r="C26" s="1609">
        <f>65-18</f>
        <v>47</v>
      </c>
      <c r="D26" s="1609"/>
      <c r="E26" s="1609"/>
      <c r="F26" s="1609"/>
      <c r="G26" s="1609"/>
      <c r="H26" s="1609"/>
      <c r="I26" s="1609"/>
      <c r="J26" s="1609"/>
      <c r="K26" s="1389"/>
      <c r="L26" s="1390"/>
      <c r="M26" s="1390"/>
      <c r="N26" s="1390"/>
      <c r="O26" s="1390"/>
      <c r="P26" s="1390"/>
      <c r="Q26" s="1391"/>
    </row>
    <row r="27" spans="1:17" ht="15.75">
      <c r="A27" s="1618">
        <v>2.7</v>
      </c>
      <c r="B27" s="1117" t="s">
        <v>465</v>
      </c>
      <c r="C27" s="1608">
        <f>C25+C26</f>
        <v>1020</v>
      </c>
      <c r="D27" s="1608">
        <v>837.26</v>
      </c>
      <c r="E27" s="1608">
        <v>864.96</v>
      </c>
      <c r="F27" s="1608">
        <f>G27-E27</f>
        <v>12.139999999999986</v>
      </c>
      <c r="G27" s="1608">
        <v>877.1</v>
      </c>
      <c r="H27" s="1608">
        <f>I27-G27</f>
        <v>100.31999999999994</v>
      </c>
      <c r="I27" s="1608">
        <v>977.42</v>
      </c>
      <c r="J27" s="1119">
        <v>29.848612572150387</v>
      </c>
      <c r="K27" s="1115">
        <f>I27+J27</f>
        <v>1007.2686125721503</v>
      </c>
      <c r="L27" s="1393">
        <v>2.9250059999999394</v>
      </c>
      <c r="M27" s="1115">
        <f>K27+L27</f>
        <v>1010.1936185721503</v>
      </c>
      <c r="N27" s="1393">
        <v>0.24000000000000909</v>
      </c>
      <c r="O27" s="1115">
        <f>M27+N27</f>
        <v>1010.4336185721503</v>
      </c>
      <c r="P27" s="1393">
        <v>1.0199999999999818</v>
      </c>
      <c r="Q27" s="1116">
        <f>O27+P27</f>
        <v>1011.4536185721503</v>
      </c>
    </row>
    <row r="28" spans="1:17" ht="15.75">
      <c r="A28" s="1618">
        <v>3</v>
      </c>
      <c r="B28" s="1833" t="s">
        <v>466</v>
      </c>
      <c r="C28" s="1833"/>
      <c r="D28" s="1833"/>
      <c r="E28" s="1833"/>
      <c r="F28" s="1833"/>
      <c r="G28" s="1833"/>
      <c r="H28" s="1833"/>
      <c r="I28" s="1833"/>
      <c r="J28" s="1833"/>
      <c r="K28" s="1834"/>
      <c r="L28" s="1094"/>
      <c r="M28" s="1094"/>
      <c r="N28" s="1094"/>
      <c r="O28" s="1094"/>
      <c r="P28" s="1094"/>
      <c r="Q28" s="1095"/>
    </row>
    <row r="29" spans="1:17" ht="35.25" customHeight="1">
      <c r="A29" s="1387">
        <v>3.1</v>
      </c>
      <c r="B29" s="1607" t="s">
        <v>467</v>
      </c>
      <c r="C29" s="1608">
        <v>50</v>
      </c>
      <c r="D29" s="1609">
        <v>39.700000000000003</v>
      </c>
      <c r="E29" s="1609">
        <v>40.36</v>
      </c>
      <c r="F29" s="1394">
        <f>G29-E29</f>
        <v>-0.65350000000000108</v>
      </c>
      <c r="G29" s="1394">
        <v>39.706499999999998</v>
      </c>
      <c r="H29" s="1394">
        <f>I29-G29</f>
        <v>0.16349999999999909</v>
      </c>
      <c r="I29" s="1394">
        <v>39.869999999999997</v>
      </c>
      <c r="J29" s="1394">
        <v>13.191500000000005</v>
      </c>
      <c r="K29" s="1395">
        <f t="shared" ref="K29:Q62" si="0">I29+J29</f>
        <v>53.061500000000002</v>
      </c>
      <c r="L29" s="1104">
        <v>0</v>
      </c>
      <c r="M29" s="1395">
        <v>53.061500000000002</v>
      </c>
      <c r="N29" s="1104">
        <v>0</v>
      </c>
      <c r="O29" s="1395">
        <v>53.06</v>
      </c>
      <c r="P29" s="1104">
        <v>0</v>
      </c>
      <c r="Q29" s="1396">
        <f t="shared" si="0"/>
        <v>53.06</v>
      </c>
    </row>
    <row r="30" spans="1:17" ht="31.5">
      <c r="A30" s="1387">
        <v>3.2</v>
      </c>
      <c r="B30" s="1607" t="s">
        <v>468</v>
      </c>
      <c r="C30" s="1609">
        <v>0.3</v>
      </c>
      <c r="D30" s="1609">
        <v>0.02</v>
      </c>
      <c r="E30" s="1609">
        <v>0.02</v>
      </c>
      <c r="F30" s="1394">
        <f t="shared" ref="F30:F49" si="1">G30-E30</f>
        <v>0</v>
      </c>
      <c r="G30" s="1394">
        <v>0.02</v>
      </c>
      <c r="H30" s="1394">
        <f t="shared" ref="H30:H49" si="2">I30-G30</f>
        <v>0</v>
      </c>
      <c r="I30" s="1394">
        <v>0.02</v>
      </c>
      <c r="J30" s="1394">
        <v>0</v>
      </c>
      <c r="K30" s="1395">
        <f t="shared" si="0"/>
        <v>0.02</v>
      </c>
      <c r="L30" s="1104">
        <v>3.3200000000000007E-2</v>
      </c>
      <c r="M30" s="1395">
        <v>0.05</v>
      </c>
      <c r="N30" s="1104">
        <v>0</v>
      </c>
      <c r="O30" s="1395">
        <v>0.05</v>
      </c>
      <c r="P30" s="1104">
        <v>0</v>
      </c>
      <c r="Q30" s="1396">
        <f t="shared" si="0"/>
        <v>0.05</v>
      </c>
    </row>
    <row r="31" spans="1:17" ht="47.25">
      <c r="A31" s="1387">
        <v>3.3</v>
      </c>
      <c r="B31" s="1607" t="s">
        <v>469</v>
      </c>
      <c r="C31" s="1609">
        <v>24</v>
      </c>
      <c r="D31" s="1609">
        <v>21.35</v>
      </c>
      <c r="E31" s="1609">
        <v>21.35</v>
      </c>
      <c r="F31" s="1394">
        <f t="shared" si="1"/>
        <v>2.0289999999999999</v>
      </c>
      <c r="G31" s="1394">
        <v>23.379000000000001</v>
      </c>
      <c r="H31" s="1394">
        <f t="shared" si="2"/>
        <v>1.0999999999999233E-2</v>
      </c>
      <c r="I31" s="1394">
        <v>23.39</v>
      </c>
      <c r="J31" s="1394">
        <v>7.6799999999998647E-2</v>
      </c>
      <c r="K31" s="1395">
        <f t="shared" si="0"/>
        <v>23.466799999999999</v>
      </c>
      <c r="L31" s="1104">
        <v>0</v>
      </c>
      <c r="M31" s="1395">
        <v>23.46668</v>
      </c>
      <c r="N31" s="1104">
        <v>0</v>
      </c>
      <c r="O31" s="1395">
        <v>23.472899999999999</v>
      </c>
      <c r="P31" s="1104">
        <v>0</v>
      </c>
      <c r="Q31" s="1396">
        <f t="shared" si="0"/>
        <v>23.472899999999999</v>
      </c>
    </row>
    <row r="32" spans="1:17" ht="31.5">
      <c r="A32" s="1387">
        <v>3.4</v>
      </c>
      <c r="B32" s="1607" t="s">
        <v>471</v>
      </c>
      <c r="C32" s="1608">
        <v>20</v>
      </c>
      <c r="D32" s="1609">
        <v>11.44</v>
      </c>
      <c r="E32" s="1609">
        <v>11.44</v>
      </c>
      <c r="F32" s="1394">
        <f t="shared" si="1"/>
        <v>0.31290000000000084</v>
      </c>
      <c r="G32" s="1394">
        <v>11.7529</v>
      </c>
      <c r="H32" s="1394">
        <f t="shared" si="2"/>
        <v>0.58709999999999951</v>
      </c>
      <c r="I32" s="1394">
        <v>12.34</v>
      </c>
      <c r="J32" s="1394">
        <v>0.35795189228628566</v>
      </c>
      <c r="K32" s="1395">
        <f t="shared" si="0"/>
        <v>12.697951892286286</v>
      </c>
      <c r="L32" s="1104">
        <v>0.38000000000000078</v>
      </c>
      <c r="M32" s="1395">
        <v>13.074999999999999</v>
      </c>
      <c r="N32" s="1104">
        <v>0</v>
      </c>
      <c r="O32" s="1395">
        <v>13.073451892286286</v>
      </c>
      <c r="P32" s="1104">
        <v>0</v>
      </c>
      <c r="Q32" s="1396">
        <f t="shared" si="0"/>
        <v>13.073451892286286</v>
      </c>
    </row>
    <row r="33" spans="1:17" ht="31.5">
      <c r="A33" s="1387">
        <v>3.5</v>
      </c>
      <c r="B33" s="1607" t="s">
        <v>706</v>
      </c>
      <c r="C33" s="1609">
        <v>52</v>
      </c>
      <c r="D33" s="1609">
        <v>42.61</v>
      </c>
      <c r="E33" s="1609">
        <v>42.61</v>
      </c>
      <c r="F33" s="1394">
        <f t="shared" si="1"/>
        <v>3.1124000000000009</v>
      </c>
      <c r="G33" s="1394">
        <v>45.7224</v>
      </c>
      <c r="H33" s="1394">
        <f t="shared" si="2"/>
        <v>-1.0923999999999978</v>
      </c>
      <c r="I33" s="1394">
        <v>44.63</v>
      </c>
      <c r="J33" s="1394">
        <v>-0.67320265818715086</v>
      </c>
      <c r="K33" s="1395">
        <f t="shared" si="0"/>
        <v>43.956797341812852</v>
      </c>
      <c r="L33" s="1104">
        <v>4.6117000000052144E-3</v>
      </c>
      <c r="M33" s="1395">
        <f t="shared" si="0"/>
        <v>43.961409041812857</v>
      </c>
      <c r="N33" s="1104">
        <v>0</v>
      </c>
      <c r="O33" s="1395">
        <v>43.958109041812854</v>
      </c>
      <c r="P33" s="1104">
        <v>3.3599999999999994</v>
      </c>
      <c r="Q33" s="1396">
        <f t="shared" si="0"/>
        <v>47.318109041812853</v>
      </c>
    </row>
    <row r="34" spans="1:17" ht="15.75">
      <c r="A34" s="1387">
        <v>3.6</v>
      </c>
      <c r="B34" s="1607" t="s">
        <v>473</v>
      </c>
      <c r="C34" s="1609">
        <v>19</v>
      </c>
      <c r="D34" s="1609">
        <v>16.579999999999998</v>
      </c>
      <c r="E34" s="1609">
        <v>16.940000000000001</v>
      </c>
      <c r="F34" s="1394">
        <f t="shared" si="1"/>
        <v>0.25379999999999825</v>
      </c>
      <c r="G34" s="1394">
        <v>17.1938</v>
      </c>
      <c r="H34" s="1394">
        <f t="shared" si="2"/>
        <v>-3.7999999999982492E-3</v>
      </c>
      <c r="I34" s="1394">
        <v>17.190000000000001</v>
      </c>
      <c r="J34" s="1394">
        <v>-3.7999999999982492E-3</v>
      </c>
      <c r="K34" s="1395">
        <f t="shared" si="0"/>
        <v>17.186200000000003</v>
      </c>
      <c r="L34" s="1104">
        <v>0</v>
      </c>
      <c r="M34" s="1395">
        <v>17.184999999999999</v>
      </c>
      <c r="N34" s="1104">
        <v>3.7999999999982492E-3</v>
      </c>
      <c r="O34" s="1395">
        <v>17.1938</v>
      </c>
      <c r="P34" s="1104">
        <v>0</v>
      </c>
      <c r="Q34" s="1396">
        <f t="shared" si="0"/>
        <v>17.1938</v>
      </c>
    </row>
    <row r="35" spans="1:17" ht="15.75">
      <c r="A35" s="1387">
        <v>3.7</v>
      </c>
      <c r="B35" s="1607" t="s">
        <v>474</v>
      </c>
      <c r="C35" s="1609">
        <v>58</v>
      </c>
      <c r="D35" s="1609">
        <v>42.93</v>
      </c>
      <c r="E35" s="1609">
        <v>43.17</v>
      </c>
      <c r="F35" s="1394">
        <f t="shared" si="1"/>
        <v>2.8990000000000009</v>
      </c>
      <c r="G35" s="1394">
        <v>46.069000000000003</v>
      </c>
      <c r="H35" s="1394">
        <f t="shared" si="2"/>
        <v>5.4109999999999943</v>
      </c>
      <c r="I35" s="1394">
        <v>51.48</v>
      </c>
      <c r="J35" s="1394">
        <v>3.0900000000000034</v>
      </c>
      <c r="K35" s="1395">
        <f t="shared" si="0"/>
        <v>54.57</v>
      </c>
      <c r="L35" s="1104">
        <v>3.0000000000001137E-2</v>
      </c>
      <c r="M35" s="1395">
        <f t="shared" si="0"/>
        <v>54.6</v>
      </c>
      <c r="N35" s="1104">
        <v>0</v>
      </c>
      <c r="O35" s="1395">
        <v>54.6</v>
      </c>
      <c r="P35" s="1104">
        <v>0.32999999999999829</v>
      </c>
      <c r="Q35" s="1396">
        <f t="shared" si="0"/>
        <v>54.93</v>
      </c>
    </row>
    <row r="36" spans="1:17" ht="31.5">
      <c r="A36" s="1387">
        <v>3.8</v>
      </c>
      <c r="B36" s="1607" t="s">
        <v>475</v>
      </c>
      <c r="C36" s="1609">
        <v>86</v>
      </c>
      <c r="D36" s="1610">
        <v>79.86</v>
      </c>
      <c r="E36" s="1610">
        <v>83.48</v>
      </c>
      <c r="F36" s="1394">
        <f t="shared" si="1"/>
        <v>0.4842999999999904</v>
      </c>
      <c r="G36" s="1394">
        <v>83.964299999999994</v>
      </c>
      <c r="H36" s="1394">
        <f t="shared" si="2"/>
        <v>0.21570000000001244</v>
      </c>
      <c r="I36" s="1394">
        <v>84.18</v>
      </c>
      <c r="J36" s="1394">
        <v>4.0899999999993497E-2</v>
      </c>
      <c r="K36" s="1395">
        <f t="shared" si="0"/>
        <v>84.2209</v>
      </c>
      <c r="L36" s="1104">
        <v>0</v>
      </c>
      <c r="M36" s="1395">
        <f t="shared" si="0"/>
        <v>84.2209</v>
      </c>
      <c r="N36" s="1104">
        <v>0</v>
      </c>
      <c r="O36" s="1395">
        <v>84.22</v>
      </c>
      <c r="P36" s="1104">
        <v>0</v>
      </c>
      <c r="Q36" s="1396">
        <f t="shared" si="0"/>
        <v>84.22</v>
      </c>
    </row>
    <row r="37" spans="1:17" ht="31.5">
      <c r="A37" s="1387">
        <v>3.9</v>
      </c>
      <c r="B37" s="1607" t="s">
        <v>476</v>
      </c>
      <c r="C37" s="1609">
        <f>378-C36</f>
        <v>292</v>
      </c>
      <c r="D37" s="1610">
        <v>240.78</v>
      </c>
      <c r="E37" s="1609">
        <v>245.31</v>
      </c>
      <c r="F37" s="1394">
        <f t="shared" si="1"/>
        <v>5.0677000000000021</v>
      </c>
      <c r="G37" s="1394">
        <f>239.3077+11.07</f>
        <v>250.3777</v>
      </c>
      <c r="H37" s="1394">
        <f t="shared" si="2"/>
        <v>24.152299999999968</v>
      </c>
      <c r="I37" s="1394">
        <v>274.52999999999997</v>
      </c>
      <c r="J37" s="1394">
        <v>44.816978684084745</v>
      </c>
      <c r="K37" s="1395">
        <f t="shared" si="0"/>
        <v>319.34697868408472</v>
      </c>
      <c r="L37" s="1104">
        <v>8.6730200007423264E-4</v>
      </c>
      <c r="M37" s="1395">
        <v>319.34699999999998</v>
      </c>
      <c r="N37" s="1104">
        <v>0</v>
      </c>
      <c r="O37" s="1395">
        <v>319.34784598608479</v>
      </c>
      <c r="P37" s="1104">
        <v>0</v>
      </c>
      <c r="Q37" s="1396">
        <f t="shared" si="0"/>
        <v>319.34784598608479</v>
      </c>
    </row>
    <row r="38" spans="1:17" ht="31.5">
      <c r="A38" s="1397" t="s">
        <v>705</v>
      </c>
      <c r="B38" s="1607" t="s">
        <v>477</v>
      </c>
      <c r="C38" s="1609">
        <v>5.4</v>
      </c>
      <c r="D38" s="1610">
        <v>0.23</v>
      </c>
      <c r="E38" s="1609">
        <v>0.23</v>
      </c>
      <c r="F38" s="1394">
        <f t="shared" si="1"/>
        <v>0.37370000000000003</v>
      </c>
      <c r="G38" s="1394">
        <v>0.60370000000000001</v>
      </c>
      <c r="H38" s="1394">
        <f t="shared" si="2"/>
        <v>0.84629999999999994</v>
      </c>
      <c r="I38" s="1394">
        <v>1.45</v>
      </c>
      <c r="J38" s="1394">
        <v>7.1700000000000097E-2</v>
      </c>
      <c r="K38" s="1395">
        <f t="shared" si="0"/>
        <v>1.5217000000000001</v>
      </c>
      <c r="L38" s="1104">
        <v>0.44999999999999996</v>
      </c>
      <c r="M38" s="1395">
        <f t="shared" si="0"/>
        <v>1.9717</v>
      </c>
      <c r="N38" s="1104">
        <v>8.6200000000000054E-2</v>
      </c>
      <c r="O38" s="1395">
        <v>2.0562</v>
      </c>
      <c r="P38" s="1104">
        <v>0.18380000000000019</v>
      </c>
      <c r="Q38" s="1396">
        <f t="shared" si="0"/>
        <v>2.2400000000000002</v>
      </c>
    </row>
    <row r="39" spans="1:17" ht="15.75">
      <c r="A39" s="1387">
        <v>3.11</v>
      </c>
      <c r="B39" s="1607" t="s">
        <v>478</v>
      </c>
      <c r="C39" s="1609">
        <v>380</v>
      </c>
      <c r="D39" s="1610">
        <v>78.53</v>
      </c>
      <c r="E39" s="1609">
        <v>80.739999999999995</v>
      </c>
      <c r="F39" s="1394">
        <f t="shared" si="1"/>
        <v>72.36</v>
      </c>
      <c r="G39" s="1394">
        <v>153.1</v>
      </c>
      <c r="H39" s="1394">
        <f t="shared" si="2"/>
        <v>117.77000000000001</v>
      </c>
      <c r="I39" s="1394">
        <v>270.87</v>
      </c>
      <c r="J39" s="1394">
        <v>51.701939385890228</v>
      </c>
      <c r="K39" s="1395">
        <f t="shared" si="0"/>
        <v>322.57193938589023</v>
      </c>
      <c r="L39" s="1104">
        <v>8.02</v>
      </c>
      <c r="M39" s="1395">
        <f>K39+L39</f>
        <v>330.59193938589021</v>
      </c>
      <c r="N39" s="1104">
        <f>15.4</f>
        <v>15.4</v>
      </c>
      <c r="O39" s="1395">
        <v>345.99193938589025</v>
      </c>
      <c r="P39" s="1104">
        <f>0.339999999999975</f>
        <v>0.33999999999997499</v>
      </c>
      <c r="Q39" s="1396">
        <f t="shared" si="0"/>
        <v>346.33193938589022</v>
      </c>
    </row>
    <row r="40" spans="1:17" ht="47.25">
      <c r="A40" s="1387">
        <v>3.12</v>
      </c>
      <c r="B40" s="1607" t="s">
        <v>626</v>
      </c>
      <c r="C40" s="1609">
        <v>145</v>
      </c>
      <c r="D40" s="1610">
        <v>50.2</v>
      </c>
      <c r="E40" s="1609">
        <v>52.18</v>
      </c>
      <c r="F40" s="1394">
        <f t="shared" si="1"/>
        <v>11.320599999999999</v>
      </c>
      <c r="G40" s="1394">
        <v>63.500599999999999</v>
      </c>
      <c r="H40" s="1394">
        <f t="shared" si="2"/>
        <v>26.799399999999999</v>
      </c>
      <c r="I40" s="1394">
        <v>90.3</v>
      </c>
      <c r="J40" s="1394">
        <v>19.232673772768081</v>
      </c>
      <c r="K40" s="1395">
        <f t="shared" si="0"/>
        <v>109.53267377276808</v>
      </c>
      <c r="L40" s="1104">
        <v>2.5499999999999972</v>
      </c>
      <c r="M40" s="1395">
        <f t="shared" si="0"/>
        <v>112.08267377276808</v>
      </c>
      <c r="N40" s="1104">
        <v>0.63999999999998636</v>
      </c>
      <c r="O40" s="1395">
        <v>112.72267377276806</v>
      </c>
      <c r="P40" s="1104">
        <v>4.480000000000004</v>
      </c>
      <c r="Q40" s="1396">
        <f t="shared" si="0"/>
        <v>117.20267377276807</v>
      </c>
    </row>
    <row r="41" spans="1:17" ht="15.75">
      <c r="A41" s="1387">
        <v>3.13</v>
      </c>
      <c r="B41" s="1607" t="s">
        <v>479</v>
      </c>
      <c r="C41" s="1609">
        <v>4</v>
      </c>
      <c r="D41" s="1610">
        <v>0.74</v>
      </c>
      <c r="E41" s="1609">
        <v>0.79</v>
      </c>
      <c r="F41" s="1394">
        <f t="shared" si="1"/>
        <v>-9.400000000000075E-3</v>
      </c>
      <c r="G41" s="1394">
        <v>0.78059999999999996</v>
      </c>
      <c r="H41" s="1394">
        <f t="shared" si="2"/>
        <v>8.9400000000000035E-2</v>
      </c>
      <c r="I41" s="1394">
        <v>0.87</v>
      </c>
      <c r="J41" s="1394">
        <v>0.38</v>
      </c>
      <c r="K41" s="1395">
        <f t="shared" si="0"/>
        <v>1.25</v>
      </c>
      <c r="L41" s="1104">
        <v>0</v>
      </c>
      <c r="M41" s="1395">
        <f t="shared" si="0"/>
        <v>1.25</v>
      </c>
      <c r="N41" s="1104">
        <v>0</v>
      </c>
      <c r="O41" s="1395">
        <v>1.25</v>
      </c>
      <c r="P41" s="1104">
        <v>0</v>
      </c>
      <c r="Q41" s="1396">
        <f t="shared" si="0"/>
        <v>1.25</v>
      </c>
    </row>
    <row r="42" spans="1:17" ht="15.75">
      <c r="A42" s="1387">
        <v>3.14</v>
      </c>
      <c r="B42" s="1607" t="s">
        <v>480</v>
      </c>
      <c r="C42" s="1609">
        <v>22.1</v>
      </c>
      <c r="D42" s="1610">
        <v>9.2899999999999991</v>
      </c>
      <c r="E42" s="1609">
        <v>9.4499999999999993</v>
      </c>
      <c r="F42" s="1394">
        <f t="shared" si="1"/>
        <v>0.60190000000000055</v>
      </c>
      <c r="G42" s="1394">
        <v>10.0519</v>
      </c>
      <c r="H42" s="1394">
        <f t="shared" si="2"/>
        <v>0.67810000000000059</v>
      </c>
      <c r="I42" s="1394">
        <v>10.73</v>
      </c>
      <c r="J42" s="1394">
        <v>3.1082000000000001</v>
      </c>
      <c r="K42" s="1395">
        <f t="shared" si="0"/>
        <v>13.838200000000001</v>
      </c>
      <c r="L42" s="1104">
        <v>2.2100000000000009</v>
      </c>
      <c r="M42" s="1395">
        <f t="shared" si="0"/>
        <v>16.048200000000001</v>
      </c>
      <c r="N42" s="1104">
        <v>1.759999999999998</v>
      </c>
      <c r="O42" s="1395">
        <v>17.809999999999999</v>
      </c>
      <c r="P42" s="1104">
        <v>0.47000000000000242</v>
      </c>
      <c r="Q42" s="1396">
        <f t="shared" si="0"/>
        <v>18.28</v>
      </c>
    </row>
    <row r="43" spans="1:17" ht="31.5">
      <c r="A43" s="1387">
        <v>3.15</v>
      </c>
      <c r="B43" s="1607" t="s">
        <v>481</v>
      </c>
      <c r="C43" s="1609">
        <v>2</v>
      </c>
      <c r="D43" s="1610">
        <v>0.42</v>
      </c>
      <c r="E43" s="1609">
        <v>0.42</v>
      </c>
      <c r="F43" s="1394">
        <f t="shared" si="1"/>
        <v>3.0000000000000027E-2</v>
      </c>
      <c r="G43" s="1394">
        <v>0.45</v>
      </c>
      <c r="H43" s="1394">
        <f t="shared" si="2"/>
        <v>0</v>
      </c>
      <c r="I43" s="1394">
        <v>0.45</v>
      </c>
      <c r="J43" s="1394">
        <v>1.0408999999999999</v>
      </c>
      <c r="K43" s="1395">
        <f t="shared" si="0"/>
        <v>1.4908999999999999</v>
      </c>
      <c r="L43" s="1104">
        <v>0</v>
      </c>
      <c r="M43" s="1395">
        <v>1.49</v>
      </c>
      <c r="N43" s="1104">
        <v>0</v>
      </c>
      <c r="O43" s="1395">
        <v>1.494</v>
      </c>
      <c r="P43" s="1104">
        <v>0</v>
      </c>
      <c r="Q43" s="1396">
        <f t="shared" si="0"/>
        <v>1.494</v>
      </c>
    </row>
    <row r="44" spans="1:17" ht="47.25">
      <c r="A44" s="1387">
        <v>3.16</v>
      </c>
      <c r="B44" s="1607" t="s">
        <v>482</v>
      </c>
      <c r="C44" s="1609">
        <v>49</v>
      </c>
      <c r="D44" s="1610">
        <v>42</v>
      </c>
      <c r="E44" s="1609">
        <v>42</v>
      </c>
      <c r="F44" s="1394">
        <f t="shared" si="1"/>
        <v>6.0204999999999984</v>
      </c>
      <c r="G44" s="1394">
        <v>48.020499999999998</v>
      </c>
      <c r="H44" s="1394">
        <f t="shared" si="2"/>
        <v>-4.99999999995282E-4</v>
      </c>
      <c r="I44" s="1394">
        <v>48.02</v>
      </c>
      <c r="J44" s="1394">
        <v>0.9883000000000024</v>
      </c>
      <c r="K44" s="1395">
        <f t="shared" si="0"/>
        <v>49.008300000000006</v>
      </c>
      <c r="L44" s="1104">
        <v>0</v>
      </c>
      <c r="M44" s="1395">
        <v>49.005000000000003</v>
      </c>
      <c r="N44" s="1104">
        <v>0</v>
      </c>
      <c r="O44" s="1395">
        <v>49.009900000000002</v>
      </c>
      <c r="P44" s="1104">
        <v>0</v>
      </c>
      <c r="Q44" s="1396">
        <f t="shared" si="0"/>
        <v>49.009900000000002</v>
      </c>
    </row>
    <row r="45" spans="1:17" ht="31.5">
      <c r="A45" s="1387">
        <v>3.17</v>
      </c>
      <c r="B45" s="1607" t="s">
        <v>483</v>
      </c>
      <c r="C45" s="1609">
        <v>30</v>
      </c>
      <c r="D45" s="1610">
        <v>24.66</v>
      </c>
      <c r="E45" s="1609">
        <v>24.97</v>
      </c>
      <c r="F45" s="1394">
        <f t="shared" si="1"/>
        <v>-0.56559999999999988</v>
      </c>
      <c r="G45" s="1394">
        <v>24.404399999999999</v>
      </c>
      <c r="H45" s="1394">
        <f t="shared" si="2"/>
        <v>-4.4000000000004036E-3</v>
      </c>
      <c r="I45" s="1394">
        <v>24.4</v>
      </c>
      <c r="J45" s="1394">
        <v>0</v>
      </c>
      <c r="K45" s="1395">
        <f t="shared" si="0"/>
        <v>24.4</v>
      </c>
      <c r="L45" s="1104">
        <v>0</v>
      </c>
      <c r="M45" s="1395">
        <f t="shared" si="0"/>
        <v>24.4</v>
      </c>
      <c r="N45" s="1104">
        <v>0</v>
      </c>
      <c r="O45" s="1395">
        <v>24.400000000000002</v>
      </c>
      <c r="P45" s="1104">
        <v>0</v>
      </c>
      <c r="Q45" s="1396">
        <f t="shared" si="0"/>
        <v>24.400000000000002</v>
      </c>
    </row>
    <row r="46" spans="1:17" ht="31.5">
      <c r="A46" s="1387">
        <v>3.18</v>
      </c>
      <c r="B46" s="1607" t="s">
        <v>484</v>
      </c>
      <c r="C46" s="1609">
        <v>6</v>
      </c>
      <c r="D46" s="1610">
        <v>2.37</v>
      </c>
      <c r="E46" s="1609">
        <v>2.37</v>
      </c>
      <c r="F46" s="1394">
        <f t="shared" si="1"/>
        <v>-0.19160000000000021</v>
      </c>
      <c r="G46" s="1394">
        <v>2.1783999999999999</v>
      </c>
      <c r="H46" s="1394">
        <f t="shared" si="2"/>
        <v>0.5416000000000003</v>
      </c>
      <c r="I46" s="1394">
        <v>2.72</v>
      </c>
      <c r="J46" s="1394">
        <v>2.06</v>
      </c>
      <c r="K46" s="1395">
        <f t="shared" si="0"/>
        <v>4.78</v>
      </c>
      <c r="L46" s="1104">
        <v>8.9999999999999858E-2</v>
      </c>
      <c r="M46" s="1395">
        <f t="shared" si="0"/>
        <v>4.87</v>
      </c>
      <c r="N46" s="1104">
        <v>0.21999999999999975</v>
      </c>
      <c r="O46" s="1395">
        <v>5.09</v>
      </c>
      <c r="P46" s="1104">
        <v>6.0000000000000497E-2</v>
      </c>
      <c r="Q46" s="1396">
        <f t="shared" si="0"/>
        <v>5.15</v>
      </c>
    </row>
    <row r="47" spans="1:17" ht="31.5">
      <c r="A47" s="1387">
        <v>3.19</v>
      </c>
      <c r="B47" s="1607" t="s">
        <v>485</v>
      </c>
      <c r="C47" s="1609">
        <v>8</v>
      </c>
      <c r="D47" s="1610">
        <v>3.25</v>
      </c>
      <c r="E47" s="1609">
        <v>3.48</v>
      </c>
      <c r="F47" s="1394">
        <f t="shared" si="1"/>
        <v>0.51000000000000023</v>
      </c>
      <c r="G47" s="1394">
        <v>3.99</v>
      </c>
      <c r="H47" s="1394">
        <f t="shared" si="2"/>
        <v>0.50999999999999979</v>
      </c>
      <c r="I47" s="1394">
        <v>4.5</v>
      </c>
      <c r="J47" s="1394">
        <v>2.81</v>
      </c>
      <c r="K47" s="1395">
        <f t="shared" si="0"/>
        <v>7.3100000000000005</v>
      </c>
      <c r="L47" s="1104">
        <v>0</v>
      </c>
      <c r="M47" s="1395">
        <v>7.31</v>
      </c>
      <c r="N47" s="1104">
        <v>0</v>
      </c>
      <c r="O47" s="1395">
        <v>7.3088520170000022</v>
      </c>
      <c r="P47" s="1104">
        <v>0</v>
      </c>
      <c r="Q47" s="1396">
        <f t="shared" si="0"/>
        <v>7.3088520170000022</v>
      </c>
    </row>
    <row r="48" spans="1:17" ht="15.75">
      <c r="A48" s="1398">
        <v>3.2</v>
      </c>
      <c r="B48" s="1607" t="s">
        <v>486</v>
      </c>
      <c r="C48" s="1609"/>
      <c r="D48" s="1610">
        <v>0</v>
      </c>
      <c r="E48" s="1609">
        <v>0</v>
      </c>
      <c r="F48" s="1394">
        <f t="shared" si="1"/>
        <v>0</v>
      </c>
      <c r="G48" s="1394">
        <v>0</v>
      </c>
      <c r="H48" s="1394">
        <f t="shared" si="2"/>
        <v>0</v>
      </c>
      <c r="I48" s="1394">
        <v>0</v>
      </c>
      <c r="J48" s="1394">
        <f t="shared" ref="J48" si="3">C48-E48-F48-H48</f>
        <v>0</v>
      </c>
      <c r="K48" s="1395">
        <f t="shared" si="0"/>
        <v>0</v>
      </c>
      <c r="L48" s="1104">
        <v>0</v>
      </c>
      <c r="M48" s="1395">
        <f t="shared" si="0"/>
        <v>0</v>
      </c>
      <c r="N48" s="1104">
        <v>0</v>
      </c>
      <c r="O48" s="1395">
        <f t="shared" si="0"/>
        <v>0</v>
      </c>
      <c r="P48" s="1104">
        <v>0</v>
      </c>
      <c r="Q48" s="1396">
        <f t="shared" si="0"/>
        <v>0</v>
      </c>
    </row>
    <row r="49" spans="1:17" ht="31.5">
      <c r="A49" s="1399">
        <v>3.21</v>
      </c>
      <c r="B49" s="1094" t="s">
        <v>627</v>
      </c>
      <c r="C49" s="1390">
        <v>28.7</v>
      </c>
      <c r="D49" s="1610">
        <v>0</v>
      </c>
      <c r="E49" s="1609">
        <v>0</v>
      </c>
      <c r="F49" s="1394">
        <f t="shared" si="1"/>
        <v>0</v>
      </c>
      <c r="G49" s="1394"/>
      <c r="H49" s="1394">
        <f t="shared" si="2"/>
        <v>28.7</v>
      </c>
      <c r="I49" s="1394">
        <v>28.7</v>
      </c>
      <c r="J49" s="1394">
        <v>2.04</v>
      </c>
      <c r="K49" s="1395">
        <f t="shared" si="0"/>
        <v>30.74</v>
      </c>
      <c r="L49" s="1104">
        <v>0</v>
      </c>
      <c r="M49" s="1395">
        <f t="shared" si="0"/>
        <v>30.74</v>
      </c>
      <c r="N49" s="1104">
        <v>0</v>
      </c>
      <c r="O49" s="1395">
        <v>30.742353598290212</v>
      </c>
      <c r="P49" s="1104">
        <v>0</v>
      </c>
      <c r="Q49" s="1396">
        <f t="shared" si="0"/>
        <v>30.742353598290212</v>
      </c>
    </row>
    <row r="50" spans="1:17" ht="47.25">
      <c r="A50" s="1618">
        <v>3.22</v>
      </c>
      <c r="B50" s="1111" t="s">
        <v>1416</v>
      </c>
      <c r="C50" s="1400">
        <f>SUM(C29:C49)</f>
        <v>1281.4999999999998</v>
      </c>
      <c r="D50" s="1608">
        <f>SUM(D29:D49)</f>
        <v>706.95999999999992</v>
      </c>
      <c r="E50" s="1608">
        <f t="shared" ref="E50:P50" si="4">SUM(E29:E49)</f>
        <v>721.31</v>
      </c>
      <c r="F50" s="1119">
        <f t="shared" si="4"/>
        <v>103.95569999999999</v>
      </c>
      <c r="G50" s="1401">
        <f t="shared" si="4"/>
        <v>825.26570000000015</v>
      </c>
      <c r="H50" s="1119">
        <f t="shared" si="4"/>
        <v>205.37429999999998</v>
      </c>
      <c r="I50" s="1119">
        <f t="shared" si="4"/>
        <v>1030.6400000000001</v>
      </c>
      <c r="J50" s="1119">
        <f t="shared" si="4"/>
        <v>144.33084107684218</v>
      </c>
      <c r="K50" s="1115">
        <f t="shared" si="0"/>
        <v>1174.9708410768424</v>
      </c>
      <c r="L50" s="1119">
        <f t="shared" si="4"/>
        <v>13.768679002000079</v>
      </c>
      <c r="M50" s="1115">
        <f>SUM(M29:M49)</f>
        <v>1188.7270022004711</v>
      </c>
      <c r="N50" s="1119">
        <f t="shared" si="4"/>
        <v>18.109999999999982</v>
      </c>
      <c r="O50" s="1115">
        <f>SUM(O29:O49)</f>
        <v>1206.8520256941322</v>
      </c>
      <c r="P50" s="1119">
        <f t="shared" si="4"/>
        <v>9.2237999999999793</v>
      </c>
      <c r="Q50" s="1116">
        <f t="shared" si="0"/>
        <v>1216.0758256941322</v>
      </c>
    </row>
    <row r="51" spans="1:17" ht="15.75">
      <c r="A51" s="1618">
        <v>4</v>
      </c>
      <c r="B51" s="1098" t="s">
        <v>488</v>
      </c>
      <c r="C51" s="1385"/>
      <c r="D51" s="1385"/>
      <c r="E51" s="1385"/>
      <c r="F51" s="1385"/>
      <c r="G51" s="1385"/>
      <c r="H51" s="1385"/>
      <c r="I51" s="1385"/>
      <c r="J51" s="1385"/>
      <c r="K51" s="1402"/>
      <c r="L51" s="1104"/>
      <c r="M51" s="1104"/>
      <c r="N51" s="1104"/>
      <c r="O51" s="1104"/>
      <c r="P51" s="1104"/>
      <c r="Q51" s="1120"/>
    </row>
    <row r="52" spans="1:17" ht="15.75">
      <c r="A52" s="1387">
        <v>4.0999999999999996</v>
      </c>
      <c r="B52" s="1607" t="s">
        <v>489</v>
      </c>
      <c r="C52" s="1609">
        <v>5</v>
      </c>
      <c r="D52" s="1609">
        <v>11.32</v>
      </c>
      <c r="E52" s="1609">
        <v>11.32</v>
      </c>
      <c r="F52" s="1403">
        <f t="shared" ref="F52:F61" si="5">G52-E52</f>
        <v>2.4699999999999989</v>
      </c>
      <c r="G52" s="1404">
        <v>13.79</v>
      </c>
      <c r="H52" s="1403">
        <f t="shared" ref="H52:H61" si="6">I52-G52</f>
        <v>2.41</v>
      </c>
      <c r="I52" s="1403">
        <v>16.2</v>
      </c>
      <c r="J52" s="1404">
        <v>-16.2</v>
      </c>
      <c r="K52" s="1405">
        <f t="shared" si="0"/>
        <v>0</v>
      </c>
      <c r="L52" s="1104">
        <v>1.9700000000000002</v>
      </c>
      <c r="M52" s="1405">
        <f t="shared" si="0"/>
        <v>1.9700000000000002</v>
      </c>
      <c r="N52" s="1104">
        <v>3.74</v>
      </c>
      <c r="O52" s="1405">
        <f t="shared" si="0"/>
        <v>5.7100000000000009</v>
      </c>
      <c r="P52" s="1104">
        <v>2.4300000000000002</v>
      </c>
      <c r="Q52" s="1406">
        <f t="shared" si="0"/>
        <v>8.14</v>
      </c>
    </row>
    <row r="53" spans="1:17" ht="31.5">
      <c r="A53" s="1387">
        <v>4.2</v>
      </c>
      <c r="B53" s="1607" t="s">
        <v>490</v>
      </c>
      <c r="C53" s="1609">
        <v>94</v>
      </c>
      <c r="D53" s="1609">
        <v>69.8</v>
      </c>
      <c r="E53" s="1609">
        <v>69.8</v>
      </c>
      <c r="F53" s="1403">
        <f t="shared" si="5"/>
        <v>20.090000000000003</v>
      </c>
      <c r="G53" s="1404">
        <v>89.89</v>
      </c>
      <c r="H53" s="1403">
        <f t="shared" si="6"/>
        <v>-1.1599999999999966</v>
      </c>
      <c r="I53" s="1403">
        <v>88.73</v>
      </c>
      <c r="J53" s="1404">
        <v>17.799999999999997</v>
      </c>
      <c r="K53" s="1405">
        <f t="shared" si="0"/>
        <v>106.53</v>
      </c>
      <c r="L53" s="1104">
        <v>1.0700000000000074</v>
      </c>
      <c r="M53" s="1405">
        <f t="shared" si="0"/>
        <v>107.60000000000001</v>
      </c>
      <c r="N53" s="1104">
        <v>-3.08</v>
      </c>
      <c r="O53" s="1405">
        <f t="shared" si="0"/>
        <v>104.52000000000001</v>
      </c>
      <c r="P53" s="1104">
        <v>0.61</v>
      </c>
      <c r="Q53" s="1406">
        <f t="shared" si="0"/>
        <v>105.13000000000001</v>
      </c>
    </row>
    <row r="54" spans="1:17" ht="31.5">
      <c r="A54" s="1387">
        <v>4.3</v>
      </c>
      <c r="B54" s="1607" t="s">
        <v>491</v>
      </c>
      <c r="C54" s="1609">
        <v>120</v>
      </c>
      <c r="D54" s="1609">
        <v>107.77</v>
      </c>
      <c r="E54" s="1609">
        <v>109.73</v>
      </c>
      <c r="F54" s="1403">
        <f t="shared" si="5"/>
        <v>5.1954999999999956</v>
      </c>
      <c r="G54" s="1404">
        <v>114.9255</v>
      </c>
      <c r="H54" s="1403">
        <f t="shared" si="6"/>
        <v>4.5144999999999982</v>
      </c>
      <c r="I54" s="1403">
        <v>119.44</v>
      </c>
      <c r="J54" s="1404">
        <v>-3.7999999999982492E-3</v>
      </c>
      <c r="K54" s="1405">
        <f t="shared" si="0"/>
        <v>119.4362</v>
      </c>
      <c r="L54" s="1104">
        <v>2.379999999999427E-2</v>
      </c>
      <c r="M54" s="1405">
        <f t="shared" si="0"/>
        <v>119.46</v>
      </c>
      <c r="N54" s="1104">
        <v>1.0000000000005116E-2</v>
      </c>
      <c r="O54" s="1405">
        <f t="shared" si="0"/>
        <v>119.47</v>
      </c>
      <c r="P54" s="1104">
        <v>0.85999999999999943</v>
      </c>
      <c r="Q54" s="1406">
        <f t="shared" si="0"/>
        <v>120.33</v>
      </c>
    </row>
    <row r="55" spans="1:17" ht="15.75">
      <c r="A55" s="1387">
        <v>4.4000000000000004</v>
      </c>
      <c r="B55" s="1607" t="s">
        <v>492</v>
      </c>
      <c r="C55" s="1609">
        <v>41</v>
      </c>
      <c r="D55" s="1609">
        <v>38.69</v>
      </c>
      <c r="E55" s="1609">
        <v>40.78</v>
      </c>
      <c r="F55" s="1403">
        <f t="shared" si="5"/>
        <v>-0.5771000000000015</v>
      </c>
      <c r="G55" s="1404">
        <v>40.2029</v>
      </c>
      <c r="H55" s="1403">
        <v>0</v>
      </c>
      <c r="I55" s="1404">
        <v>40.200000000000003</v>
      </c>
      <c r="J55" s="1407">
        <v>0</v>
      </c>
      <c r="K55" s="1408">
        <f t="shared" si="0"/>
        <v>40.200000000000003</v>
      </c>
      <c r="L55" s="1104">
        <v>0</v>
      </c>
      <c r="M55" s="1405">
        <f t="shared" si="0"/>
        <v>40.200000000000003</v>
      </c>
      <c r="N55" s="1104">
        <v>0</v>
      </c>
      <c r="O55" s="1405">
        <f t="shared" si="0"/>
        <v>40.200000000000003</v>
      </c>
      <c r="P55" s="1104">
        <v>0</v>
      </c>
      <c r="Q55" s="1406">
        <f t="shared" si="0"/>
        <v>40.200000000000003</v>
      </c>
    </row>
    <row r="56" spans="1:17" ht="31.5">
      <c r="A56" s="1387">
        <v>4.5</v>
      </c>
      <c r="B56" s="1607" t="s">
        <v>493</v>
      </c>
      <c r="C56" s="1609">
        <v>0</v>
      </c>
      <c r="D56" s="1609">
        <v>0</v>
      </c>
      <c r="E56" s="1609">
        <v>0</v>
      </c>
      <c r="F56" s="1403">
        <f t="shared" si="5"/>
        <v>1.6000000000000001E-3</v>
      </c>
      <c r="G56" s="1404">
        <v>1.6000000000000001E-3</v>
      </c>
      <c r="H56" s="1403">
        <v>-1.6000000000000001E-3</v>
      </c>
      <c r="I56" s="1403">
        <v>0</v>
      </c>
      <c r="J56" s="1404">
        <v>-1.6000000000000001E-3</v>
      </c>
      <c r="K56" s="1405">
        <f t="shared" si="0"/>
        <v>-1.6000000000000001E-3</v>
      </c>
      <c r="L56" s="1104">
        <v>0</v>
      </c>
      <c r="M56" s="1405">
        <f t="shared" si="0"/>
        <v>-1.6000000000000001E-3</v>
      </c>
      <c r="N56" s="1104">
        <v>0</v>
      </c>
      <c r="O56" s="1405">
        <f t="shared" si="0"/>
        <v>-1.6000000000000001E-3</v>
      </c>
      <c r="P56" s="1104">
        <v>0</v>
      </c>
      <c r="Q56" s="1406">
        <f t="shared" si="0"/>
        <v>-1.6000000000000001E-3</v>
      </c>
    </row>
    <row r="57" spans="1:17" ht="31.5">
      <c r="A57" s="1387">
        <v>4.5999999999999996</v>
      </c>
      <c r="B57" s="1607" t="s">
        <v>494</v>
      </c>
      <c r="C57" s="1609"/>
      <c r="D57" s="1610">
        <v>0</v>
      </c>
      <c r="E57" s="1609">
        <v>0</v>
      </c>
      <c r="F57" s="1403">
        <f t="shared" si="5"/>
        <v>2.96</v>
      </c>
      <c r="G57" s="1404">
        <v>2.96</v>
      </c>
      <c r="H57" s="1403">
        <v>0</v>
      </c>
      <c r="I57" s="1403">
        <v>2.96</v>
      </c>
      <c r="J57" s="1404">
        <v>-2.96</v>
      </c>
      <c r="K57" s="1405">
        <f t="shared" si="0"/>
        <v>0</v>
      </c>
      <c r="L57" s="1104">
        <v>0</v>
      </c>
      <c r="M57" s="1405">
        <f t="shared" si="0"/>
        <v>0</v>
      </c>
      <c r="N57" s="1104">
        <v>0</v>
      </c>
      <c r="O57" s="1405">
        <f t="shared" si="0"/>
        <v>0</v>
      </c>
      <c r="P57" s="1104">
        <v>0</v>
      </c>
      <c r="Q57" s="1406">
        <f t="shared" si="0"/>
        <v>0</v>
      </c>
    </row>
    <row r="58" spans="1:17" ht="15.75">
      <c r="A58" s="1387">
        <v>4.7</v>
      </c>
      <c r="B58" s="1607" t="s">
        <v>495</v>
      </c>
      <c r="C58" s="1609"/>
      <c r="D58" s="1610">
        <v>0</v>
      </c>
      <c r="E58" s="1609">
        <v>0</v>
      </c>
      <c r="F58" s="1403">
        <f t="shared" si="5"/>
        <v>0</v>
      </c>
      <c r="G58" s="1404">
        <v>0</v>
      </c>
      <c r="H58" s="1403">
        <v>0</v>
      </c>
      <c r="I58" s="1403">
        <v>0</v>
      </c>
      <c r="J58" s="1404">
        <v>0</v>
      </c>
      <c r="K58" s="1405">
        <f t="shared" si="0"/>
        <v>0</v>
      </c>
      <c r="L58" s="1104">
        <v>0</v>
      </c>
      <c r="M58" s="1405">
        <f t="shared" si="0"/>
        <v>0</v>
      </c>
      <c r="N58" s="1104">
        <v>0</v>
      </c>
      <c r="O58" s="1405">
        <f t="shared" si="0"/>
        <v>0</v>
      </c>
      <c r="P58" s="1104">
        <v>0</v>
      </c>
      <c r="Q58" s="1406">
        <f t="shared" si="0"/>
        <v>0</v>
      </c>
    </row>
    <row r="59" spans="1:17" ht="31.5">
      <c r="A59" s="1387">
        <v>4.8</v>
      </c>
      <c r="B59" s="1607" t="s">
        <v>496</v>
      </c>
      <c r="C59" s="1609">
        <v>1</v>
      </c>
      <c r="D59" s="1610">
        <v>0</v>
      </c>
      <c r="E59" s="1609">
        <v>0</v>
      </c>
      <c r="F59" s="1403">
        <f t="shared" si="5"/>
        <v>0.5</v>
      </c>
      <c r="G59" s="1404">
        <v>0.5</v>
      </c>
      <c r="H59" s="1403">
        <v>0</v>
      </c>
      <c r="I59" s="1403">
        <v>0.5</v>
      </c>
      <c r="J59" s="1404">
        <v>0.5</v>
      </c>
      <c r="K59" s="1405">
        <f t="shared" si="0"/>
        <v>1</v>
      </c>
      <c r="L59" s="1104">
        <v>0</v>
      </c>
      <c r="M59" s="1405">
        <f t="shared" si="0"/>
        <v>1</v>
      </c>
      <c r="N59" s="1104">
        <v>0</v>
      </c>
      <c r="O59" s="1405">
        <f t="shared" si="0"/>
        <v>1</v>
      </c>
      <c r="P59" s="1104">
        <v>0</v>
      </c>
      <c r="Q59" s="1406">
        <f t="shared" si="0"/>
        <v>1</v>
      </c>
    </row>
    <row r="60" spans="1:17" ht="19.5" customHeight="1">
      <c r="A60" s="1387">
        <v>4.9000000000000004</v>
      </c>
      <c r="B60" s="1607" t="s">
        <v>497</v>
      </c>
      <c r="C60" s="1609">
        <v>1266</v>
      </c>
      <c r="D60" s="1610">
        <v>1231.73</v>
      </c>
      <c r="E60" s="1609">
        <v>1264.3399999999999</v>
      </c>
      <c r="F60" s="1403">
        <f t="shared" si="5"/>
        <v>-1247.7049999999999</v>
      </c>
      <c r="G60" s="1403">
        <v>16.635000000000002</v>
      </c>
      <c r="H60" s="1403">
        <f t="shared" si="6"/>
        <v>1285.895</v>
      </c>
      <c r="I60" s="1403">
        <v>1302.53</v>
      </c>
      <c r="J60" s="1404">
        <v>-38.190000000000055</v>
      </c>
      <c r="K60" s="1405">
        <f t="shared" si="0"/>
        <v>1264.3399999999999</v>
      </c>
      <c r="L60" s="1104">
        <v>0</v>
      </c>
      <c r="M60" s="1405">
        <f t="shared" si="0"/>
        <v>1264.3399999999999</v>
      </c>
      <c r="N60" s="1104">
        <v>0</v>
      </c>
      <c r="O60" s="1405">
        <f t="shared" si="0"/>
        <v>1264.3399999999999</v>
      </c>
      <c r="P60" s="1104">
        <v>0</v>
      </c>
      <c r="Q60" s="1406">
        <f t="shared" si="0"/>
        <v>1264.3399999999999</v>
      </c>
    </row>
    <row r="61" spans="1:17" ht="52.5" customHeight="1">
      <c r="A61" s="1398">
        <v>4.0999999999999996</v>
      </c>
      <c r="B61" s="1607" t="s">
        <v>1220</v>
      </c>
      <c r="C61" s="1609">
        <v>17</v>
      </c>
      <c r="D61" s="1610">
        <v>18.149999999999999</v>
      </c>
      <c r="E61" s="1609">
        <v>20.9</v>
      </c>
      <c r="F61" s="1403">
        <f t="shared" si="5"/>
        <v>-4</v>
      </c>
      <c r="G61" s="1404">
        <v>16.899999999999999</v>
      </c>
      <c r="H61" s="1403">
        <f t="shared" si="6"/>
        <v>0.10000000000000142</v>
      </c>
      <c r="I61" s="1409">
        <v>17</v>
      </c>
      <c r="J61" s="1407">
        <v>0</v>
      </c>
      <c r="K61" s="1405">
        <f t="shared" si="0"/>
        <v>17</v>
      </c>
      <c r="L61" s="1104">
        <v>0</v>
      </c>
      <c r="M61" s="1405">
        <f t="shared" si="0"/>
        <v>17</v>
      </c>
      <c r="N61" s="1104">
        <v>0</v>
      </c>
      <c r="O61" s="1405">
        <f t="shared" si="0"/>
        <v>17</v>
      </c>
      <c r="P61" s="1104">
        <v>0</v>
      </c>
      <c r="Q61" s="1406">
        <f t="shared" si="0"/>
        <v>17</v>
      </c>
    </row>
    <row r="62" spans="1:17" ht="15.75">
      <c r="A62" s="1410">
        <v>4.1100000000000003</v>
      </c>
      <c r="B62" s="1117" t="s">
        <v>498</v>
      </c>
      <c r="C62" s="1608">
        <f t="shared" ref="C62:J62" si="7">SUM(C52:C61)</f>
        <v>1544</v>
      </c>
      <c r="D62" s="1608">
        <f t="shared" si="7"/>
        <v>1477.46</v>
      </c>
      <c r="E62" s="1608">
        <f t="shared" si="7"/>
        <v>1516.8700000000001</v>
      </c>
      <c r="F62" s="1608">
        <f t="shared" si="7"/>
        <v>-1221.0649999999998</v>
      </c>
      <c r="G62" s="1608">
        <f t="shared" si="7"/>
        <v>295.80499999999995</v>
      </c>
      <c r="H62" s="1608">
        <f t="shared" si="7"/>
        <v>1291.7578999999998</v>
      </c>
      <c r="I62" s="1608">
        <f t="shared" si="7"/>
        <v>1587.56</v>
      </c>
      <c r="J62" s="1404">
        <f t="shared" si="7"/>
        <v>-39.055400000000056</v>
      </c>
      <c r="K62" s="1411">
        <v>1548.5050000000001</v>
      </c>
      <c r="L62" s="1404">
        <f t="shared" ref="L62" si="8">SUM(L52:L61)</f>
        <v>3.0638000000000019</v>
      </c>
      <c r="M62" s="1411">
        <f t="shared" si="0"/>
        <v>1551.5688</v>
      </c>
      <c r="N62" s="1404">
        <f t="shared" ref="N62" si="9">SUM(N52:N61)</f>
        <v>0.67000000000000526</v>
      </c>
      <c r="O62" s="1411">
        <f t="shared" si="0"/>
        <v>1552.2388000000001</v>
      </c>
      <c r="P62" s="1404">
        <f t="shared" ref="P62" si="10">SUM(P52:P61)</f>
        <v>3.8999999999999995</v>
      </c>
      <c r="Q62" s="1412">
        <f t="shared" si="0"/>
        <v>1556.1388000000002</v>
      </c>
    </row>
    <row r="63" spans="1:17" ht="47.25">
      <c r="A63" s="1618">
        <v>5</v>
      </c>
      <c r="B63" s="1117" t="s">
        <v>499</v>
      </c>
      <c r="C63" s="1119">
        <f t="shared" ref="C63:J63" si="11">C19+C27+C50+C62</f>
        <v>8780</v>
      </c>
      <c r="D63" s="1119">
        <f t="shared" si="11"/>
        <v>7771.63</v>
      </c>
      <c r="E63" s="1119">
        <f t="shared" si="11"/>
        <v>7884.6799999999994</v>
      </c>
      <c r="F63" s="1119">
        <f t="shared" si="11"/>
        <v>-1114.3692999999994</v>
      </c>
      <c r="G63" s="1119">
        <f t="shared" si="11"/>
        <v>6770.3107000000009</v>
      </c>
      <c r="H63" s="1119">
        <f t="shared" si="11"/>
        <v>1597.4551999999994</v>
      </c>
      <c r="I63" s="1119">
        <f t="shared" si="11"/>
        <v>8367.7630000000008</v>
      </c>
      <c r="J63" s="1119">
        <f t="shared" si="11"/>
        <v>212.46305364899251</v>
      </c>
      <c r="K63" s="1119">
        <v>8580.2199999999993</v>
      </c>
      <c r="L63" s="1119">
        <f t="shared" ref="L63" si="12">L19+L27+L50+L62</f>
        <v>76.513232802000815</v>
      </c>
      <c r="M63" s="1115">
        <f>M62+M50+M27+M19</f>
        <v>8656.7271685726228</v>
      </c>
      <c r="N63" s="1119">
        <f t="shared" ref="N63" si="13">N19+N27+N50+N62</f>
        <v>32.849999999999923</v>
      </c>
      <c r="O63" s="1115">
        <f>O62+O50+O27+O19</f>
        <v>8689.592192066284</v>
      </c>
      <c r="P63" s="1119">
        <f t="shared" ref="P63" si="14">P19+P27+P50+P62</f>
        <v>24.190936799998912</v>
      </c>
      <c r="Q63" s="1116">
        <f>Q62+Q50+Q27+Q19</f>
        <v>8713.7831288662819</v>
      </c>
    </row>
    <row r="64" spans="1:17" ht="15.75">
      <c r="A64" s="1617"/>
      <c r="B64" s="1123"/>
      <c r="C64" s="1123"/>
      <c r="D64" s="1413"/>
      <c r="E64" s="1123"/>
      <c r="F64" s="1835"/>
      <c r="G64" s="1835"/>
      <c r="H64" s="1835"/>
      <c r="I64" s="1835"/>
      <c r="J64" s="1835"/>
      <c r="K64" s="1080"/>
      <c r="L64" s="1080"/>
      <c r="M64" s="1080"/>
      <c r="N64" s="1080"/>
      <c r="O64" s="1080"/>
      <c r="P64" s="1080"/>
      <c r="Q64" s="1082"/>
    </row>
    <row r="65" spans="1:17" ht="15.75">
      <c r="A65" s="1611"/>
      <c r="B65" s="1624" t="s">
        <v>500</v>
      </c>
      <c r="C65" s="1624"/>
      <c r="D65" s="1413"/>
      <c r="E65" s="1123"/>
      <c r="F65" s="1835"/>
      <c r="G65" s="1835"/>
      <c r="H65" s="1835"/>
      <c r="I65" s="1835"/>
      <c r="J65" s="1835"/>
      <c r="K65" s="1080"/>
      <c r="L65" s="1080"/>
      <c r="M65" s="1080"/>
      <c r="N65" s="1080"/>
      <c r="O65" s="1080"/>
      <c r="P65" s="1080"/>
      <c r="Q65" s="1082"/>
    </row>
    <row r="66" spans="1:17" ht="39" customHeight="1">
      <c r="A66" s="1611"/>
      <c r="B66" s="1836" t="s">
        <v>1373</v>
      </c>
      <c r="C66" s="1836"/>
      <c r="D66" s="1836"/>
      <c r="E66" s="1836"/>
      <c r="F66" s="1836"/>
      <c r="G66" s="1836"/>
      <c r="H66" s="1836"/>
      <c r="I66" s="1836"/>
      <c r="J66" s="1836"/>
      <c r="K66" s="1836"/>
      <c r="L66" s="1836"/>
      <c r="M66" s="1836"/>
      <c r="N66" s="1836"/>
      <c r="O66" s="1836"/>
      <c r="P66" s="1836"/>
      <c r="Q66" s="1837"/>
    </row>
    <row r="67" spans="1:17" ht="15.75">
      <c r="A67" s="1611"/>
      <c r="B67" s="1080"/>
      <c r="C67" s="1080"/>
      <c r="D67" s="1414"/>
      <c r="E67" s="1415"/>
      <c r="F67" s="1415"/>
      <c r="G67" s="1415"/>
      <c r="H67" s="1415"/>
      <c r="I67" s="1415"/>
      <c r="J67" s="1415"/>
      <c r="K67" s="1080"/>
      <c r="L67" s="1080"/>
      <c r="M67" s="1080"/>
      <c r="N67" s="1080"/>
      <c r="O67" s="1080"/>
      <c r="P67" s="1080"/>
      <c r="Q67" s="1082"/>
    </row>
    <row r="68" spans="1:17" ht="16.5" thickBot="1">
      <c r="A68" s="1128"/>
      <c r="B68" s="1129"/>
      <c r="C68" s="1129"/>
      <c r="D68" s="1416"/>
      <c r="E68" s="1129"/>
      <c r="F68" s="1129"/>
      <c r="G68" s="1129"/>
      <c r="H68" s="1129"/>
      <c r="I68" s="1129"/>
      <c r="J68" s="1129"/>
      <c r="K68" s="1129"/>
      <c r="L68" s="1129"/>
      <c r="M68" s="1129"/>
      <c r="N68" s="1129"/>
      <c r="O68" s="1129"/>
      <c r="P68" s="1748" t="s">
        <v>700</v>
      </c>
      <c r="Q68" s="1793"/>
    </row>
    <row r="69" spans="1:17">
      <c r="A69" s="1417"/>
      <c r="B69" s="1417"/>
      <c r="C69" s="1417"/>
      <c r="D69" s="1418"/>
      <c r="E69" s="1417"/>
      <c r="F69" s="1419"/>
      <c r="G69" s="1419"/>
      <c r="H69" s="1417"/>
      <c r="I69" s="1417"/>
      <c r="J69" s="1417"/>
      <c r="K69" s="1417"/>
    </row>
    <row r="70" spans="1:17">
      <c r="A70" s="1417"/>
      <c r="B70" s="1417"/>
      <c r="C70" s="1417"/>
      <c r="D70" s="1418"/>
      <c r="E70" s="1417"/>
      <c r="F70" s="1417"/>
      <c r="G70" s="1417"/>
      <c r="H70" s="1417"/>
      <c r="I70" s="1417"/>
      <c r="J70" s="1417"/>
      <c r="K70" s="1417"/>
    </row>
    <row r="76" spans="1:17" ht="14.45" customHeight="1"/>
    <row r="80" spans="1:17" ht="14.45" customHeight="1"/>
    <row r="89" ht="14.45" customHeight="1"/>
  </sheetData>
  <mergeCells count="31">
    <mergeCell ref="P68:Q68"/>
    <mergeCell ref="P7:Q7"/>
    <mergeCell ref="B20:K20"/>
    <mergeCell ref="B28:K28"/>
    <mergeCell ref="F64:J64"/>
    <mergeCell ref="F65:J65"/>
    <mergeCell ref="B66:Q66"/>
    <mergeCell ref="F8:F9"/>
    <mergeCell ref="H8:H9"/>
    <mergeCell ref="J8:J9"/>
    <mergeCell ref="C8:C9"/>
    <mergeCell ref="G8:G9"/>
    <mergeCell ref="I8:I9"/>
    <mergeCell ref="Q8:Q9"/>
    <mergeCell ref="L8:L9"/>
    <mergeCell ref="M8:M9"/>
    <mergeCell ref="P1:Q1"/>
    <mergeCell ref="P2:Q2"/>
    <mergeCell ref="A5:C5"/>
    <mergeCell ref="A6:C6"/>
    <mergeCell ref="N8:N9"/>
    <mergeCell ref="O8:O9"/>
    <mergeCell ref="P8:P9"/>
    <mergeCell ref="K8:K9"/>
    <mergeCell ref="A8:A9"/>
    <mergeCell ref="B8:B9"/>
    <mergeCell ref="D8:D9"/>
    <mergeCell ref="E8:E9"/>
    <mergeCell ref="A3:Q3"/>
    <mergeCell ref="E5:Q5"/>
    <mergeCell ref="E6:Q6"/>
  </mergeCells>
  <printOptions horizontalCentered="1"/>
  <pageMargins left="0.70866141732283505" right="0.70866141732283505" top="0.74803149606299202" bottom="0.8" header="0.31496062992126" footer="0.31496062992126"/>
  <pageSetup paperSize="9" scale="70" fitToHeight="2" orientation="portrait" horizontalDpi="4294967293" r:id="rId1"/>
  <ignoredErrors>
    <ignoredError sqref="L63 G37 K50:L50 N39 P39 L62 N62:P62 N50 N63 P50 P63" formula="1"/>
    <ignoredError sqref="A38" numberStoredAsText="1"/>
  </ignoredErrors>
</worksheet>
</file>

<file path=xl/worksheets/sheet11.xml><?xml version="1.0" encoding="utf-8"?>
<worksheet xmlns="http://schemas.openxmlformats.org/spreadsheetml/2006/main" xmlns:r="http://schemas.openxmlformats.org/officeDocument/2006/relationships">
  <dimension ref="A1:G49"/>
  <sheetViews>
    <sheetView zoomScale="130" zoomScaleNormal="130" workbookViewId="0">
      <selection activeCell="C10" sqref="C10"/>
    </sheetView>
  </sheetViews>
  <sheetFormatPr defaultRowHeight="12.75"/>
  <cols>
    <col min="1" max="1" width="39.6640625" customWidth="1"/>
    <col min="2" max="2" width="26.6640625" customWidth="1"/>
    <col min="3" max="3" width="18.1640625" customWidth="1"/>
    <col min="4" max="4" width="16.6640625" customWidth="1"/>
    <col min="5" max="5" width="20.6640625" customWidth="1"/>
    <col min="6" max="6" width="13.1640625" customWidth="1"/>
    <col min="7" max="7" width="14.5" customWidth="1"/>
  </cols>
  <sheetData>
    <row r="1" spans="1:7" ht="15.75">
      <c r="A1" s="841"/>
      <c r="B1" s="842"/>
      <c r="C1" s="842"/>
      <c r="D1" s="842"/>
      <c r="E1" s="842"/>
      <c r="F1" s="842"/>
      <c r="G1" s="415" t="s">
        <v>743</v>
      </c>
    </row>
    <row r="2" spans="1:7" ht="15.75">
      <c r="A2" s="399"/>
      <c r="B2" s="911"/>
      <c r="C2" s="911"/>
      <c r="D2" s="911"/>
      <c r="E2" s="911"/>
      <c r="F2" s="911"/>
      <c r="G2" s="943" t="s">
        <v>791</v>
      </c>
    </row>
    <row r="3" spans="1:7" ht="15.75">
      <c r="A3" s="399"/>
      <c r="B3" s="911"/>
      <c r="C3" s="911"/>
      <c r="D3" s="911"/>
      <c r="E3" s="911"/>
      <c r="F3" s="911"/>
      <c r="G3" s="942"/>
    </row>
    <row r="4" spans="1:7" ht="15.75">
      <c r="A4" s="1851" t="s">
        <v>792</v>
      </c>
      <c r="B4" s="1852"/>
      <c r="C4" s="1852"/>
      <c r="D4" s="1852"/>
      <c r="E4" s="1852"/>
      <c r="F4" s="1852"/>
      <c r="G4" s="1853"/>
    </row>
    <row r="5" spans="1:7" ht="15.75">
      <c r="A5" s="399"/>
      <c r="B5" s="911"/>
      <c r="C5" s="911"/>
      <c r="D5" s="911"/>
      <c r="E5" s="911"/>
      <c r="F5" s="911"/>
      <c r="G5" s="942"/>
    </row>
    <row r="6" spans="1:7" ht="15.75">
      <c r="A6" s="399"/>
      <c r="B6" s="911"/>
      <c r="C6" s="911"/>
      <c r="D6" s="911"/>
      <c r="E6" s="911"/>
      <c r="F6" s="911"/>
      <c r="G6" s="942"/>
    </row>
    <row r="7" spans="1:7" ht="15.75">
      <c r="A7" s="973" t="s">
        <v>869</v>
      </c>
      <c r="B7" s="911"/>
      <c r="C7" s="840" t="s">
        <v>841</v>
      </c>
      <c r="D7" s="911"/>
      <c r="E7" s="911"/>
      <c r="F7" s="911"/>
      <c r="G7" s="942"/>
    </row>
    <row r="8" spans="1:7" ht="15.75">
      <c r="A8" s="973" t="s">
        <v>870</v>
      </c>
      <c r="B8" s="911"/>
      <c r="C8" s="840" t="s">
        <v>415</v>
      </c>
      <c r="D8" s="911"/>
      <c r="E8" s="911"/>
      <c r="F8" s="911"/>
      <c r="G8" s="942"/>
    </row>
    <row r="9" spans="1:7" ht="18.75">
      <c r="A9" s="973" t="s">
        <v>1374</v>
      </c>
      <c r="B9" s="911"/>
      <c r="C9" s="840" t="s">
        <v>826</v>
      </c>
      <c r="D9" s="911"/>
      <c r="E9" s="911"/>
      <c r="F9" s="911"/>
      <c r="G9" s="942"/>
    </row>
    <row r="10" spans="1:7" ht="18.75">
      <c r="A10" s="973" t="s">
        <v>1375</v>
      </c>
      <c r="B10" s="911"/>
      <c r="C10" s="979" t="s">
        <v>444</v>
      </c>
      <c r="D10" s="911"/>
      <c r="E10" s="911"/>
      <c r="F10" s="911"/>
      <c r="G10" s="942"/>
    </row>
    <row r="11" spans="1:7" ht="15.75">
      <c r="A11" s="399"/>
      <c r="B11" s="911"/>
      <c r="C11" s="911"/>
      <c r="D11" s="911"/>
      <c r="E11" s="911"/>
      <c r="F11" s="911"/>
      <c r="G11" s="942"/>
    </row>
    <row r="12" spans="1:7" ht="15.75">
      <c r="A12" s="399"/>
      <c r="B12" s="911"/>
      <c r="C12" s="911"/>
      <c r="D12" s="911"/>
      <c r="E12" s="911"/>
      <c r="F12" s="911"/>
      <c r="G12" s="942"/>
    </row>
    <row r="13" spans="1:7" ht="15.75">
      <c r="A13" s="974"/>
      <c r="B13" s="1854" t="s">
        <v>820</v>
      </c>
      <c r="C13" s="1854"/>
      <c r="D13" s="944" t="s">
        <v>821</v>
      </c>
      <c r="E13" s="944"/>
      <c r="F13" s="1854" t="s">
        <v>822</v>
      </c>
      <c r="G13" s="1855"/>
    </row>
    <row r="14" spans="1:7" ht="18.75">
      <c r="A14" s="974"/>
      <c r="B14" s="1854" t="s">
        <v>827</v>
      </c>
      <c r="C14" s="1854"/>
      <c r="D14" s="1842" t="s">
        <v>827</v>
      </c>
      <c r="E14" s="1839"/>
      <c r="F14" s="1854" t="s">
        <v>827</v>
      </c>
      <c r="G14" s="1855"/>
    </row>
    <row r="15" spans="1:7" ht="15.75">
      <c r="A15" s="975">
        <v>1</v>
      </c>
      <c r="B15" s="343">
        <v>2</v>
      </c>
      <c r="C15" s="343">
        <v>3</v>
      </c>
      <c r="D15" s="343">
        <v>4</v>
      </c>
      <c r="E15" s="343">
        <v>5</v>
      </c>
      <c r="F15" s="343">
        <v>6</v>
      </c>
      <c r="G15" s="877">
        <v>7</v>
      </c>
    </row>
    <row r="16" spans="1:7" ht="15.75">
      <c r="A16" s="974"/>
      <c r="B16" s="343" t="s">
        <v>824</v>
      </c>
      <c r="C16" s="343" t="s">
        <v>306</v>
      </c>
      <c r="D16" s="343" t="s">
        <v>824</v>
      </c>
      <c r="E16" s="343" t="s">
        <v>306</v>
      </c>
      <c r="F16" s="343" t="s">
        <v>824</v>
      </c>
      <c r="G16" s="877" t="s">
        <v>306</v>
      </c>
    </row>
    <row r="17" spans="1:7" ht="15.75">
      <c r="A17" s="974" t="str">
        <f>'Form 13'!C13</f>
        <v>Loan-1 (PFC-1)</v>
      </c>
      <c r="B17" s="343" t="s">
        <v>310</v>
      </c>
      <c r="C17" s="860">
        <f>'Form 13'!F14</f>
        <v>3980</v>
      </c>
      <c r="D17" s="270" t="s">
        <v>310</v>
      </c>
      <c r="E17" s="976">
        <f>'Form 13'!G14</f>
        <v>3980</v>
      </c>
      <c r="F17" s="270" t="s">
        <v>310</v>
      </c>
      <c r="G17" s="1856">
        <f>F20</f>
        <v>4660.8599999999997</v>
      </c>
    </row>
    <row r="18" spans="1:7" ht="15.75">
      <c r="A18" s="974" t="str">
        <f>'Form 13'!C24</f>
        <v>Loan-2 (PFC-2)</v>
      </c>
      <c r="B18" s="343" t="s">
        <v>310</v>
      </c>
      <c r="C18" s="860">
        <v>660</v>
      </c>
      <c r="D18" s="270" t="s">
        <v>310</v>
      </c>
      <c r="E18" s="976">
        <f>'Form 13'!G25</f>
        <v>491</v>
      </c>
      <c r="F18" s="270" t="s">
        <v>310</v>
      </c>
      <c r="G18" s="1857"/>
    </row>
    <row r="19" spans="1:7" ht="15.75">
      <c r="A19" s="974" t="str">
        <f>'Form 13'!C35</f>
        <v>Loan-3 (REC)</v>
      </c>
      <c r="B19" s="343" t="s">
        <v>310</v>
      </c>
      <c r="C19" s="860">
        <v>660</v>
      </c>
      <c r="D19" s="270" t="s">
        <v>310</v>
      </c>
      <c r="E19" s="270">
        <f>'Form 13'!G36</f>
        <v>153.11000000000001</v>
      </c>
      <c r="F19" s="270" t="s">
        <v>310</v>
      </c>
      <c r="G19" s="1858"/>
    </row>
    <row r="20" spans="1:7" ht="15.75">
      <c r="A20" s="974" t="s">
        <v>413</v>
      </c>
      <c r="B20" s="1849">
        <f>SUM(C17:C19)</f>
        <v>5300</v>
      </c>
      <c r="C20" s="1849"/>
      <c r="D20" s="1849">
        <f>SUM(E17:E19)</f>
        <v>4624.1099999999997</v>
      </c>
      <c r="E20" s="1849"/>
      <c r="F20" s="1842">
        <f>4660.86</f>
        <v>4660.8599999999997</v>
      </c>
      <c r="G20" s="1841"/>
    </row>
    <row r="21" spans="1:7" ht="15.75">
      <c r="A21" s="974"/>
      <c r="B21" s="235"/>
      <c r="C21" s="235"/>
      <c r="D21" s="235"/>
      <c r="E21" s="235"/>
      <c r="F21" s="235"/>
      <c r="G21" s="913"/>
    </row>
    <row r="22" spans="1:7" ht="15.75">
      <c r="A22" s="974" t="s">
        <v>823</v>
      </c>
      <c r="B22" s="235"/>
      <c r="C22" s="235"/>
      <c r="D22" s="235"/>
      <c r="E22" s="235"/>
      <c r="F22" s="235"/>
      <c r="G22" s="913"/>
    </row>
    <row r="23" spans="1:7" ht="15.75">
      <c r="A23" s="977" t="s">
        <v>824</v>
      </c>
      <c r="B23" s="1843" t="s">
        <v>310</v>
      </c>
      <c r="C23" s="1844"/>
      <c r="D23" s="1847" t="s">
        <v>310</v>
      </c>
      <c r="E23" s="1848"/>
      <c r="F23" s="1847" t="s">
        <v>310</v>
      </c>
      <c r="G23" s="1850"/>
    </row>
    <row r="24" spans="1:7" ht="15.75">
      <c r="A24" s="977" t="s">
        <v>306</v>
      </c>
      <c r="B24" s="1845">
        <f>B26</f>
        <v>3480</v>
      </c>
      <c r="C24" s="1846"/>
      <c r="D24" s="1847">
        <f>D26</f>
        <v>3260.5699999999997</v>
      </c>
      <c r="E24" s="1848"/>
      <c r="F24" s="1847">
        <f>F26</f>
        <v>2044.8500000000004</v>
      </c>
      <c r="G24" s="1850"/>
    </row>
    <row r="25" spans="1:7" ht="15.75">
      <c r="A25" s="974"/>
      <c r="B25" s="235"/>
      <c r="C25" s="235"/>
      <c r="D25" s="235"/>
      <c r="E25" s="235"/>
      <c r="F25" s="235"/>
      <c r="G25" s="913"/>
    </row>
    <row r="26" spans="1:7" ht="15.75">
      <c r="A26" s="974" t="s">
        <v>1282</v>
      </c>
      <c r="B26" s="1849">
        <f>'Form 5B '!C63-B20</f>
        <v>3480</v>
      </c>
      <c r="C26" s="1849"/>
      <c r="D26" s="1838">
        <f>'Form 5B '!E63-'Form 6'!D20</f>
        <v>3260.5699999999997</v>
      </c>
      <c r="E26" s="1839"/>
      <c r="F26" s="1840">
        <f>'App-IV input Capital cost'!E12-'Form 6'!F20</f>
        <v>2044.8500000000004</v>
      </c>
      <c r="G26" s="1841"/>
    </row>
    <row r="27" spans="1:7" ht="15.75">
      <c r="A27" s="974" t="s">
        <v>825</v>
      </c>
      <c r="B27" s="978">
        <f>ROUND(B20/(B20+B26)*100,0)</f>
        <v>60</v>
      </c>
      <c r="C27" s="978">
        <f>ROUND(B26/(B20+B26)*100,0)</f>
        <v>40</v>
      </c>
      <c r="D27" s="343">
        <f>ROUND(D20/(D20+D26)*100,0)</f>
        <v>59</v>
      </c>
      <c r="E27" s="343">
        <f>ROUND(D26/(D20+D26)*100,0)</f>
        <v>41</v>
      </c>
      <c r="F27" s="343">
        <f>ROUND(F20/(F20+F26)*100,0)</f>
        <v>70</v>
      </c>
      <c r="G27" s="877">
        <f>ROUND(F26/(F20+F26)*100,0)</f>
        <v>30</v>
      </c>
    </row>
    <row r="28" spans="1:7" ht="15.75">
      <c r="A28" s="399"/>
      <c r="B28" s="911"/>
      <c r="C28" s="911"/>
      <c r="D28" s="911"/>
      <c r="E28" s="911"/>
      <c r="F28" s="911"/>
      <c r="G28" s="942"/>
    </row>
    <row r="29" spans="1:7" ht="15.75">
      <c r="A29" s="399"/>
      <c r="B29" s="911"/>
      <c r="C29" s="911"/>
      <c r="D29" s="911"/>
      <c r="E29" s="911"/>
      <c r="F29" s="911"/>
      <c r="G29" s="942"/>
    </row>
    <row r="30" spans="1:7" ht="18.75">
      <c r="A30" s="399" t="s">
        <v>828</v>
      </c>
      <c r="B30" s="911"/>
      <c r="C30" s="911"/>
      <c r="D30" s="911"/>
      <c r="E30" s="911"/>
      <c r="F30" s="911"/>
      <c r="G30" s="942"/>
    </row>
    <row r="31" spans="1:7" ht="18.75">
      <c r="A31" s="399" t="s">
        <v>829</v>
      </c>
      <c r="B31" s="911"/>
      <c r="C31" s="911"/>
      <c r="D31" s="911"/>
      <c r="E31" s="911"/>
      <c r="F31" s="911"/>
      <c r="G31" s="942"/>
    </row>
    <row r="32" spans="1:7" ht="18.75">
      <c r="A32" s="399" t="s">
        <v>830</v>
      </c>
      <c r="B32" s="911"/>
      <c r="C32" s="911"/>
      <c r="D32" s="911"/>
      <c r="E32" s="911"/>
      <c r="F32" s="911"/>
      <c r="G32" s="942"/>
    </row>
    <row r="33" spans="1:7" ht="15.75">
      <c r="A33" s="399"/>
      <c r="B33" s="911"/>
      <c r="C33" s="911"/>
      <c r="D33" s="911"/>
      <c r="E33" s="911"/>
      <c r="F33" s="911"/>
      <c r="G33" s="942"/>
    </row>
    <row r="34" spans="1:7" ht="15.75">
      <c r="A34" s="399"/>
      <c r="B34" s="911"/>
      <c r="C34" s="911"/>
      <c r="D34" s="911"/>
      <c r="E34" s="911"/>
      <c r="F34" s="840" t="s">
        <v>700</v>
      </c>
      <c r="G34" s="942"/>
    </row>
    <row r="35" spans="1:7" ht="15.75">
      <c r="A35" s="399"/>
      <c r="B35" s="911"/>
      <c r="C35" s="911"/>
      <c r="D35" s="911"/>
      <c r="E35" s="911"/>
      <c r="F35" s="911"/>
      <c r="G35" s="942"/>
    </row>
    <row r="36" spans="1:7" ht="16.5" thickBot="1">
      <c r="A36" s="882"/>
      <c r="B36" s="883"/>
      <c r="C36" s="883"/>
      <c r="D36" s="883"/>
      <c r="E36" s="883"/>
      <c r="F36" s="883"/>
      <c r="G36" s="884"/>
    </row>
    <row r="39" spans="1:7">
      <c r="B39" s="414"/>
    </row>
    <row r="49" spans="2:2">
      <c r="B49" t="str">
        <f>""</f>
        <v/>
      </c>
    </row>
  </sheetData>
  <mergeCells count="19">
    <mergeCell ref="A4:G4"/>
    <mergeCell ref="D14:E14"/>
    <mergeCell ref="D20:E20"/>
    <mergeCell ref="B13:C13"/>
    <mergeCell ref="B14:C14"/>
    <mergeCell ref="F13:G13"/>
    <mergeCell ref="F14:G14"/>
    <mergeCell ref="G17:G19"/>
    <mergeCell ref="D26:E26"/>
    <mergeCell ref="F26:G26"/>
    <mergeCell ref="F20:G20"/>
    <mergeCell ref="B23:C23"/>
    <mergeCell ref="B24:C24"/>
    <mergeCell ref="D23:E23"/>
    <mergeCell ref="B20:C20"/>
    <mergeCell ref="B26:C26"/>
    <mergeCell ref="D24:E24"/>
    <mergeCell ref="F23:G23"/>
    <mergeCell ref="F24:G24"/>
  </mergeCells>
  <pageMargins left="0.70866141732283472" right="0.70866141732283472" top="0.74803149606299213" bottom="0.74803149606299213" header="0.31496062992125984" footer="0.31496062992125984"/>
  <pageSetup scale="82" orientation="landscape" r:id="rId1"/>
  <rowBreaks count="1" manualBreakCount="1">
    <brk id="36" max="16383" man="1"/>
  </rowBreaks>
</worksheet>
</file>

<file path=xl/worksheets/sheet12.xml><?xml version="1.0" encoding="utf-8"?>
<worksheet xmlns="http://schemas.openxmlformats.org/spreadsheetml/2006/main" xmlns:r="http://schemas.openxmlformats.org/officeDocument/2006/relationships">
  <sheetPr>
    <pageSetUpPr fitToPage="1"/>
  </sheetPr>
  <dimension ref="A1:F50"/>
  <sheetViews>
    <sheetView workbookViewId="0">
      <selection activeCell="E22" sqref="E22"/>
    </sheetView>
  </sheetViews>
  <sheetFormatPr defaultRowHeight="12.75"/>
  <cols>
    <col min="1" max="1" width="34.1640625" style="149" customWidth="1"/>
    <col min="2" max="2" width="27.33203125" style="149" customWidth="1"/>
    <col min="3" max="5" width="32.83203125" style="149" customWidth="1"/>
    <col min="6" max="6" width="25.1640625" style="149" customWidth="1"/>
    <col min="7" max="16384" width="9.33203125" style="149"/>
  </cols>
  <sheetData>
    <row r="1" spans="1:6" ht="15.75">
      <c r="A1" s="841"/>
      <c r="B1" s="842"/>
      <c r="C1" s="842"/>
      <c r="D1" s="842"/>
      <c r="E1" s="842"/>
      <c r="F1" s="1006" t="s">
        <v>743</v>
      </c>
    </row>
    <row r="2" spans="1:6" ht="15.75">
      <c r="A2" s="1359"/>
      <c r="B2" s="1360"/>
      <c r="C2" s="1360"/>
      <c r="D2" s="1360"/>
      <c r="E2" s="1360"/>
      <c r="F2" s="1007" t="s">
        <v>793</v>
      </c>
    </row>
    <row r="3" spans="1:6" ht="15.75">
      <c r="A3" s="1359"/>
      <c r="B3" s="1360"/>
      <c r="C3" s="1360"/>
      <c r="D3" s="1360"/>
      <c r="E3" s="1360"/>
      <c r="F3" s="1007"/>
    </row>
    <row r="4" spans="1:6" ht="15.75">
      <c r="A4" s="1851" t="s">
        <v>701</v>
      </c>
      <c r="B4" s="1852"/>
      <c r="C4" s="1852"/>
      <c r="D4" s="1852"/>
      <c r="E4" s="1852"/>
      <c r="F4" s="1853"/>
    </row>
    <row r="5" spans="1:6" ht="15.75">
      <c r="A5" s="1008"/>
      <c r="B5" s="1860"/>
      <c r="C5" s="1860"/>
      <c r="D5" s="1358"/>
      <c r="E5" s="1358"/>
      <c r="F5" s="1009"/>
    </row>
    <row r="6" spans="1:6" ht="15.75">
      <c r="A6" s="1359"/>
      <c r="B6" s="1360"/>
      <c r="C6" s="1360"/>
      <c r="D6" s="1360"/>
      <c r="E6" s="1360"/>
      <c r="F6" s="1357"/>
    </row>
    <row r="7" spans="1:6" ht="15.75">
      <c r="A7" s="1008" t="s">
        <v>869</v>
      </c>
      <c r="C7" s="1373" t="str">
        <f>'Energy Charges'!C6</f>
        <v>The Singareni Collieries Company Ltd</v>
      </c>
      <c r="D7" s="1360"/>
      <c r="E7" s="1360"/>
      <c r="F7" s="1357"/>
    </row>
    <row r="8" spans="1:6" ht="15.75">
      <c r="A8" s="1008" t="s">
        <v>870</v>
      </c>
      <c r="C8" s="1373" t="str">
        <f>'Energy Charges'!C7</f>
        <v>Singareni Thermal Power Project</v>
      </c>
      <c r="D8" s="1360"/>
      <c r="E8" s="1360"/>
      <c r="F8" s="1357"/>
    </row>
    <row r="9" spans="1:6" ht="15.75">
      <c r="A9" s="1359"/>
      <c r="B9" s="1360"/>
      <c r="C9" s="1360"/>
      <c r="D9" s="1360"/>
      <c r="E9" s="1360"/>
      <c r="F9" s="1357"/>
    </row>
    <row r="10" spans="1:6" ht="15.75">
      <c r="A10" s="1359"/>
      <c r="B10" s="1360"/>
      <c r="C10" s="1360"/>
      <c r="D10" s="1360"/>
      <c r="E10" s="1360"/>
      <c r="F10" s="1357"/>
    </row>
    <row r="11" spans="1:6" ht="15.75">
      <c r="A11" s="1359"/>
      <c r="B11" s="1360"/>
      <c r="C11" s="1360"/>
      <c r="D11" s="1360"/>
      <c r="E11" s="1868" t="s">
        <v>699</v>
      </c>
      <c r="F11" s="1869"/>
    </row>
    <row r="12" spans="1:6" ht="15.75">
      <c r="A12" s="1010" t="s">
        <v>376</v>
      </c>
      <c r="B12" s="1011" t="s">
        <v>702</v>
      </c>
      <c r="C12" s="1012" t="s">
        <v>703</v>
      </c>
      <c r="D12" s="1013" t="s">
        <v>704</v>
      </c>
      <c r="E12" s="1014" t="s">
        <v>1332</v>
      </c>
      <c r="F12" s="1015" t="s">
        <v>1333</v>
      </c>
    </row>
    <row r="13" spans="1:6" ht="15.75">
      <c r="A13" s="1016">
        <v>1</v>
      </c>
      <c r="B13" s="1017">
        <v>2</v>
      </c>
      <c r="C13" s="1018">
        <v>3</v>
      </c>
      <c r="D13" s="1019">
        <v>4</v>
      </c>
      <c r="E13" s="1020">
        <v>5</v>
      </c>
      <c r="F13" s="1021">
        <v>6</v>
      </c>
    </row>
    <row r="14" spans="1:6" ht="15.75">
      <c r="A14" s="980"/>
      <c r="B14" s="1863" t="s">
        <v>1334</v>
      </c>
      <c r="C14" s="1864"/>
      <c r="D14" s="1865"/>
      <c r="E14" s="1866" t="s">
        <v>1335</v>
      </c>
      <c r="F14" s="1867"/>
    </row>
    <row r="15" spans="1:6" ht="18.75">
      <c r="A15" s="981" t="s">
        <v>1376</v>
      </c>
      <c r="B15" s="343" t="s">
        <v>697</v>
      </c>
      <c r="C15" s="343" t="s">
        <v>709</v>
      </c>
      <c r="D15" s="982" t="s">
        <v>698</v>
      </c>
      <c r="E15" s="983" t="s">
        <v>1222</v>
      </c>
      <c r="F15" s="984" t="s">
        <v>1223</v>
      </c>
    </row>
    <row r="16" spans="1:6" ht="18.75">
      <c r="A16" s="981" t="s">
        <v>1377</v>
      </c>
      <c r="B16" s="343" t="s">
        <v>695</v>
      </c>
      <c r="C16" s="343" t="s">
        <v>695</v>
      </c>
      <c r="D16" s="877" t="s">
        <v>695</v>
      </c>
      <c r="E16" s="983" t="s">
        <v>695</v>
      </c>
      <c r="F16" s="985" t="s">
        <v>695</v>
      </c>
    </row>
    <row r="17" spans="1:6" ht="15.75">
      <c r="A17" s="1022" t="s">
        <v>888</v>
      </c>
      <c r="B17" s="865">
        <v>3980</v>
      </c>
      <c r="C17" s="865">
        <v>660</v>
      </c>
      <c r="D17" s="866">
        <v>660</v>
      </c>
      <c r="E17" s="986">
        <v>2891.51</v>
      </c>
      <c r="F17" s="986">
        <v>982</v>
      </c>
    </row>
    <row r="18" spans="1:6" ht="50.25">
      <c r="A18" s="1022" t="s">
        <v>1378</v>
      </c>
      <c r="B18" s="865">
        <v>3980</v>
      </c>
      <c r="C18" s="860">
        <f>'[7]Form 13'!E32</f>
        <v>491</v>
      </c>
      <c r="D18" s="986">
        <f>'[7]Form 13'!E43</f>
        <v>153.11000000000001</v>
      </c>
      <c r="E18" s="986">
        <v>2891.51</v>
      </c>
      <c r="F18" s="986">
        <v>981.73</v>
      </c>
    </row>
    <row r="19" spans="1:6" ht="31.5">
      <c r="A19" s="981" t="s">
        <v>1379</v>
      </c>
      <c r="B19" s="741" t="s">
        <v>707</v>
      </c>
      <c r="C19" s="741" t="s">
        <v>707</v>
      </c>
      <c r="D19" s="890" t="s">
        <v>707</v>
      </c>
      <c r="E19" s="987" t="s">
        <v>1224</v>
      </c>
      <c r="F19" s="988" t="s">
        <v>1224</v>
      </c>
    </row>
    <row r="20" spans="1:6" ht="31.5">
      <c r="A20" s="1022" t="s">
        <v>889</v>
      </c>
      <c r="B20" s="357" t="s">
        <v>310</v>
      </c>
      <c r="C20" s="357" t="s">
        <v>310</v>
      </c>
      <c r="D20" s="855" t="s">
        <v>310</v>
      </c>
      <c r="E20" s="989" t="s">
        <v>310</v>
      </c>
      <c r="F20" s="990" t="s">
        <v>310</v>
      </c>
    </row>
    <row r="21" spans="1:6" ht="18.75">
      <c r="A21" s="981" t="s">
        <v>1380</v>
      </c>
      <c r="B21" s="357" t="s">
        <v>310</v>
      </c>
      <c r="C21" s="357" t="s">
        <v>310</v>
      </c>
      <c r="D21" s="855" t="s">
        <v>310</v>
      </c>
      <c r="E21" s="989" t="s">
        <v>1225</v>
      </c>
      <c r="F21" s="991" t="s">
        <v>1281</v>
      </c>
    </row>
    <row r="22" spans="1:6" ht="63">
      <c r="A22" s="981" t="s">
        <v>1381</v>
      </c>
      <c r="B22" s="357" t="s">
        <v>310</v>
      </c>
      <c r="C22" s="357" t="s">
        <v>310</v>
      </c>
      <c r="D22" s="855" t="s">
        <v>310</v>
      </c>
      <c r="E22" s="989">
        <v>2.5000000000000001E-3</v>
      </c>
      <c r="F22" s="992" t="s">
        <v>1226</v>
      </c>
    </row>
    <row r="23" spans="1:6" ht="18.75">
      <c r="A23" s="981" t="s">
        <v>1382</v>
      </c>
      <c r="B23" s="343" t="s">
        <v>310</v>
      </c>
      <c r="C23" s="343" t="s">
        <v>310</v>
      </c>
      <c r="D23" s="877" t="s">
        <v>310</v>
      </c>
      <c r="E23" s="983" t="s">
        <v>530</v>
      </c>
      <c r="F23" s="985" t="s">
        <v>530</v>
      </c>
    </row>
    <row r="24" spans="1:6" ht="31.5">
      <c r="A24" s="1022" t="s">
        <v>890</v>
      </c>
      <c r="B24" s="343" t="s">
        <v>310</v>
      </c>
      <c r="C24" s="343" t="s">
        <v>310</v>
      </c>
      <c r="D24" s="877" t="s">
        <v>310</v>
      </c>
      <c r="E24" s="983" t="s">
        <v>310</v>
      </c>
      <c r="F24" s="985" t="s">
        <v>310</v>
      </c>
    </row>
    <row r="25" spans="1:6" ht="18.75">
      <c r="A25" s="981" t="s">
        <v>1383</v>
      </c>
      <c r="B25" s="993" t="s">
        <v>1336</v>
      </c>
      <c r="C25" s="993" t="s">
        <v>1336</v>
      </c>
      <c r="D25" s="993" t="s">
        <v>1336</v>
      </c>
      <c r="E25" s="994" t="s">
        <v>310</v>
      </c>
      <c r="F25" s="985" t="s">
        <v>310</v>
      </c>
    </row>
    <row r="26" spans="1:6" ht="15.75">
      <c r="A26" s="1022" t="s">
        <v>891</v>
      </c>
      <c r="B26" s="343" t="s">
        <v>310</v>
      </c>
      <c r="C26" s="343" t="s">
        <v>310</v>
      </c>
      <c r="D26" s="877" t="s">
        <v>310</v>
      </c>
      <c r="E26" s="983" t="s">
        <v>310</v>
      </c>
      <c r="F26" s="985" t="s">
        <v>310</v>
      </c>
    </row>
    <row r="27" spans="1:6" ht="18.75">
      <c r="A27" s="981" t="s">
        <v>1384</v>
      </c>
      <c r="B27" s="343" t="s">
        <v>696</v>
      </c>
      <c r="C27" s="343" t="s">
        <v>696</v>
      </c>
      <c r="D27" s="877" t="s">
        <v>696</v>
      </c>
      <c r="E27" s="983" t="s">
        <v>1227</v>
      </c>
      <c r="F27" s="985" t="s">
        <v>1227</v>
      </c>
    </row>
    <row r="28" spans="1:6" ht="15.75">
      <c r="A28" s="1022" t="s">
        <v>892</v>
      </c>
      <c r="B28" s="995">
        <v>42736</v>
      </c>
      <c r="C28" s="995">
        <f>B28</f>
        <v>42736</v>
      </c>
      <c r="D28" s="996">
        <f>C28</f>
        <v>42736</v>
      </c>
      <c r="E28" s="997">
        <v>44119</v>
      </c>
      <c r="F28" s="998">
        <v>44227</v>
      </c>
    </row>
    <row r="29" spans="1:6" ht="31.5">
      <c r="A29" s="981" t="s">
        <v>1385</v>
      </c>
      <c r="B29" s="741" t="s">
        <v>708</v>
      </c>
      <c r="C29" s="741" t="str">
        <f>B29</f>
        <v>Quarterly 
instalments</v>
      </c>
      <c r="D29" s="890" t="str">
        <f>C29</f>
        <v>Quarterly 
instalments</v>
      </c>
      <c r="E29" s="987" t="s">
        <v>708</v>
      </c>
      <c r="F29" s="999" t="s">
        <v>708</v>
      </c>
    </row>
    <row r="30" spans="1:6" ht="47.25">
      <c r="A30" s="981" t="s">
        <v>1386</v>
      </c>
      <c r="B30" s="1000">
        <f>B17/48</f>
        <v>82.916666666666671</v>
      </c>
      <c r="C30" s="1000">
        <f>C17/48</f>
        <v>13.75</v>
      </c>
      <c r="D30" s="1001">
        <f>D17/48</f>
        <v>13.75</v>
      </c>
      <c r="E30" s="1002" t="s">
        <v>1228</v>
      </c>
      <c r="F30" s="1003">
        <v>29.75</v>
      </c>
    </row>
    <row r="31" spans="1:6" ht="18.75">
      <c r="A31" s="981" t="s">
        <v>1387</v>
      </c>
      <c r="B31" s="343" t="s">
        <v>310</v>
      </c>
      <c r="C31" s="343" t="s">
        <v>310</v>
      </c>
      <c r="D31" s="877" t="s">
        <v>310</v>
      </c>
      <c r="E31" s="983" t="s">
        <v>310</v>
      </c>
      <c r="F31" s="985" t="s">
        <v>310</v>
      </c>
    </row>
    <row r="32" spans="1:6" ht="15.75">
      <c r="A32" s="1859" t="s">
        <v>1388</v>
      </c>
      <c r="B32" s="1802"/>
      <c r="C32" s="1802"/>
      <c r="D32" s="1802"/>
      <c r="E32" s="1802"/>
      <c r="F32" s="1803"/>
    </row>
    <row r="33" spans="1:6" ht="15.75">
      <c r="A33" s="1859" t="s">
        <v>1389</v>
      </c>
      <c r="B33" s="1802"/>
      <c r="C33" s="1802"/>
      <c r="D33" s="1802"/>
      <c r="E33" s="1802"/>
      <c r="F33" s="1803"/>
    </row>
    <row r="34" spans="1:6" ht="15.75">
      <c r="A34" s="1859" t="s">
        <v>1390</v>
      </c>
      <c r="B34" s="1802"/>
      <c r="C34" s="1802"/>
      <c r="D34" s="1802"/>
      <c r="E34" s="1802"/>
      <c r="F34" s="1803"/>
    </row>
    <row r="35" spans="1:6" ht="15.75">
      <c r="A35" s="1859" t="s">
        <v>1391</v>
      </c>
      <c r="B35" s="1802"/>
      <c r="C35" s="1802"/>
      <c r="D35" s="1802"/>
      <c r="E35" s="1802"/>
      <c r="F35" s="1803"/>
    </row>
    <row r="36" spans="1:6" ht="15.75">
      <c r="A36" s="1859" t="s">
        <v>1392</v>
      </c>
      <c r="B36" s="1802"/>
      <c r="C36" s="1802"/>
      <c r="D36" s="1802"/>
      <c r="E36" s="1802"/>
      <c r="F36" s="1803"/>
    </row>
    <row r="37" spans="1:6" ht="18.75">
      <c r="A37" s="1861" t="s">
        <v>1393</v>
      </c>
      <c r="B37" s="1862"/>
      <c r="C37" s="1862"/>
      <c r="D37" s="1862"/>
      <c r="E37" s="1862"/>
      <c r="F37" s="1815"/>
    </row>
    <row r="38" spans="1:6" ht="15.75">
      <c r="A38" s="1859" t="s">
        <v>1394</v>
      </c>
      <c r="B38" s="1802"/>
      <c r="C38" s="1802"/>
      <c r="D38" s="1802"/>
      <c r="E38" s="1802"/>
      <c r="F38" s="1803"/>
    </row>
    <row r="39" spans="1:6" ht="15.75">
      <c r="A39" s="1859" t="s">
        <v>1395</v>
      </c>
      <c r="B39" s="1802"/>
      <c r="C39" s="1802"/>
      <c r="D39" s="1802"/>
      <c r="E39" s="1802"/>
      <c r="F39" s="1803"/>
    </row>
    <row r="40" spans="1:6" ht="18.75" customHeight="1">
      <c r="A40" s="1859" t="s">
        <v>1396</v>
      </c>
      <c r="B40" s="1802"/>
      <c r="C40" s="1802"/>
      <c r="D40" s="1802"/>
      <c r="E40" s="1802"/>
      <c r="F40" s="1803"/>
    </row>
    <row r="41" spans="1:6" ht="15.75">
      <c r="A41" s="1859" t="s">
        <v>1397</v>
      </c>
      <c r="B41" s="1802"/>
      <c r="C41" s="1802"/>
      <c r="D41" s="1802"/>
      <c r="E41" s="1802"/>
      <c r="F41" s="1803"/>
    </row>
    <row r="42" spans="1:6" ht="15.75">
      <c r="A42" s="1859" t="s">
        <v>1398</v>
      </c>
      <c r="B42" s="1802"/>
      <c r="C42" s="1802"/>
      <c r="D42" s="1802"/>
      <c r="E42" s="1802"/>
      <c r="F42" s="1803"/>
    </row>
    <row r="43" spans="1:6" ht="15.75">
      <c r="A43" s="1859" t="s">
        <v>1399</v>
      </c>
      <c r="B43" s="1802"/>
      <c r="C43" s="1802"/>
      <c r="D43" s="1802"/>
      <c r="E43" s="1802"/>
      <c r="F43" s="1803"/>
    </row>
    <row r="44" spans="1:6" ht="15.75">
      <c r="A44" s="1859" t="s">
        <v>1400</v>
      </c>
      <c r="B44" s="1802"/>
      <c r="C44" s="1802"/>
      <c r="D44" s="1802"/>
      <c r="E44" s="1802"/>
      <c r="F44" s="1803"/>
    </row>
    <row r="45" spans="1:6" ht="15.75">
      <c r="A45" s="1859" t="s">
        <v>1401</v>
      </c>
      <c r="B45" s="1802"/>
      <c r="C45" s="1802"/>
      <c r="D45" s="1802"/>
      <c r="E45" s="1802"/>
      <c r="F45" s="1803"/>
    </row>
    <row r="46" spans="1:6" ht="15.75">
      <c r="A46" s="1859" t="s">
        <v>1402</v>
      </c>
      <c r="B46" s="1802"/>
      <c r="C46" s="1802"/>
      <c r="D46" s="1802"/>
      <c r="E46" s="1802"/>
      <c r="F46" s="1803"/>
    </row>
    <row r="47" spans="1:6" ht="15.75">
      <c r="A47" s="1859" t="s">
        <v>1403</v>
      </c>
      <c r="B47" s="1802"/>
      <c r="C47" s="1802"/>
      <c r="D47" s="1802"/>
      <c r="E47" s="1802"/>
      <c r="F47" s="1803"/>
    </row>
    <row r="48" spans="1:6" ht="14.25" customHeight="1">
      <c r="A48" s="1008" t="s">
        <v>710</v>
      </c>
      <c r="B48" s="1360"/>
      <c r="C48" s="1360"/>
      <c r="D48" s="1360"/>
      <c r="E48" s="1360"/>
      <c r="F48" s="1357"/>
    </row>
    <row r="49" spans="1:6" ht="11.45" customHeight="1">
      <c r="A49" s="1023"/>
      <c r="B49" s="1360"/>
      <c r="C49" s="1360"/>
      <c r="D49" s="1360"/>
      <c r="E49" s="1360"/>
      <c r="F49" s="1357"/>
    </row>
    <row r="50" spans="1:6" ht="16.5" thickBot="1">
      <c r="A50" s="882"/>
      <c r="B50" s="883"/>
      <c r="C50" s="883"/>
      <c r="D50" s="883"/>
      <c r="E50" s="1004" t="s">
        <v>700</v>
      </c>
      <c r="F50" s="884"/>
    </row>
  </sheetData>
  <mergeCells count="21">
    <mergeCell ref="A4:F4"/>
    <mergeCell ref="A42:F42"/>
    <mergeCell ref="A43:F43"/>
    <mergeCell ref="A44:F44"/>
    <mergeCell ref="A45:F45"/>
    <mergeCell ref="A37:F37"/>
    <mergeCell ref="A38:F38"/>
    <mergeCell ref="A39:F39"/>
    <mergeCell ref="A40:F40"/>
    <mergeCell ref="A41:F41"/>
    <mergeCell ref="A32:F32"/>
    <mergeCell ref="A33:F33"/>
    <mergeCell ref="B14:D14"/>
    <mergeCell ref="E14:F14"/>
    <mergeCell ref="E11:F11"/>
    <mergeCell ref="A34:F34"/>
    <mergeCell ref="A35:F35"/>
    <mergeCell ref="A36:F36"/>
    <mergeCell ref="B5:C5"/>
    <mergeCell ref="A47:F47"/>
    <mergeCell ref="A46:F46"/>
  </mergeCells>
  <pageMargins left="0.70866141732283472" right="0.70866141732283472" top="0.74803149606299213" bottom="0.74803149606299213" header="0.31496062992125984" footer="0.31496062992125984"/>
  <pageSetup scale="54" orientation="portrait" r:id="rId1"/>
</worksheet>
</file>

<file path=xl/worksheets/sheet13.xml><?xml version="1.0" encoding="utf-8"?>
<worksheet xmlns="http://schemas.openxmlformats.org/spreadsheetml/2006/main" xmlns:r="http://schemas.openxmlformats.org/officeDocument/2006/relationships">
  <dimension ref="A1:L29"/>
  <sheetViews>
    <sheetView zoomScaleNormal="100" workbookViewId="0">
      <selection activeCell="H11" sqref="H11"/>
    </sheetView>
  </sheetViews>
  <sheetFormatPr defaultColWidth="9.33203125" defaultRowHeight="12.75"/>
  <cols>
    <col min="1" max="1" width="9.1640625" style="723" customWidth="1"/>
    <col min="2" max="2" width="37.1640625" style="723" customWidth="1"/>
    <col min="3" max="3" width="12.1640625" style="723" customWidth="1"/>
    <col min="4" max="4" width="20.6640625" style="723" customWidth="1"/>
    <col min="5" max="5" width="15.5" style="723" customWidth="1"/>
    <col min="6" max="6" width="14.5" style="723" customWidth="1"/>
    <col min="7" max="7" width="16" style="723" customWidth="1"/>
    <col min="8" max="8" width="88" style="723" customWidth="1"/>
    <col min="9" max="9" width="16.5" style="723" customWidth="1"/>
    <col min="10" max="12" width="0" style="723" hidden="1" customWidth="1"/>
    <col min="13" max="13" width="2.83203125" style="723" customWidth="1"/>
    <col min="14" max="14" width="45.1640625" style="723" customWidth="1"/>
    <col min="15" max="16384" width="9.33203125" style="723"/>
  </cols>
  <sheetData>
    <row r="1" spans="1:12" ht="13.5" thickBot="1"/>
    <row r="2" spans="1:12" ht="15.75">
      <c r="A2" s="918"/>
      <c r="B2" s="1873" t="s">
        <v>1406</v>
      </c>
      <c r="C2" s="1873"/>
      <c r="D2" s="1873"/>
      <c r="E2" s="1873"/>
      <c r="F2" s="1873"/>
      <c r="G2" s="1873"/>
      <c r="H2" s="1873"/>
      <c r="I2" s="415" t="s">
        <v>504</v>
      </c>
    </row>
    <row r="3" spans="1:12" ht="15.75">
      <c r="A3" s="1874" t="s">
        <v>1196</v>
      </c>
      <c r="B3" s="1875"/>
      <c r="C3" s="1875"/>
      <c r="D3" s="920" t="s">
        <v>417</v>
      </c>
      <c r="E3" s="722"/>
      <c r="F3" s="722"/>
      <c r="G3" s="722"/>
      <c r="H3" s="722"/>
      <c r="I3" s="921"/>
    </row>
    <row r="4" spans="1:12" ht="15.75">
      <c r="A4" s="1874" t="s">
        <v>1197</v>
      </c>
      <c r="B4" s="1875"/>
      <c r="C4" s="1875"/>
      <c r="D4" s="920" t="s">
        <v>415</v>
      </c>
      <c r="E4" s="722"/>
      <c r="F4" s="722"/>
      <c r="G4" s="722"/>
      <c r="H4" s="722"/>
      <c r="I4" s="921"/>
    </row>
    <row r="5" spans="1:12" ht="15.75">
      <c r="A5" s="1874" t="s">
        <v>1198</v>
      </c>
      <c r="B5" s="1875"/>
      <c r="C5" s="1875"/>
      <c r="D5" s="724" t="s">
        <v>864</v>
      </c>
      <c r="E5" s="722"/>
      <c r="F5" s="722"/>
      <c r="G5" s="722"/>
      <c r="H5" s="722"/>
      <c r="I5" s="921"/>
    </row>
    <row r="6" spans="1:12">
      <c r="A6" s="919"/>
      <c r="I6" s="922"/>
    </row>
    <row r="7" spans="1:12">
      <c r="A7" s="919"/>
      <c r="H7" s="1876" t="s">
        <v>1199</v>
      </c>
      <c r="I7" s="1877"/>
    </row>
    <row r="8" spans="1:12" ht="14.25">
      <c r="A8" s="1880" t="s">
        <v>1200</v>
      </c>
      <c r="B8" s="1882" t="s">
        <v>1201</v>
      </c>
      <c r="C8" s="1884" t="s">
        <v>1202</v>
      </c>
      <c r="D8" s="1885"/>
      <c r="E8" s="1885"/>
      <c r="F8" s="1886"/>
      <c r="G8" s="1882" t="s">
        <v>1203</v>
      </c>
      <c r="H8" s="1882" t="s">
        <v>1204</v>
      </c>
      <c r="I8" s="1878" t="s">
        <v>1205</v>
      </c>
    </row>
    <row r="9" spans="1:12" ht="57">
      <c r="A9" s="1881"/>
      <c r="B9" s="1883"/>
      <c r="C9" s="1230" t="s">
        <v>1206</v>
      </c>
      <c r="D9" s="1230" t="s">
        <v>1207</v>
      </c>
      <c r="E9" s="1230" t="s">
        <v>1208</v>
      </c>
      <c r="F9" s="1230" t="s">
        <v>1209</v>
      </c>
      <c r="G9" s="1883"/>
      <c r="H9" s="1883"/>
      <c r="I9" s="1879"/>
    </row>
    <row r="10" spans="1:12" ht="15.75">
      <c r="A10" s="1225">
        <v>1</v>
      </c>
      <c r="B10" s="1226">
        <v>2</v>
      </c>
      <c r="C10" s="1226">
        <v>3</v>
      </c>
      <c r="D10" s="1226">
        <v>4</v>
      </c>
      <c r="E10" s="1231" t="s">
        <v>1210</v>
      </c>
      <c r="F10" s="1226">
        <v>6</v>
      </c>
      <c r="G10" s="1226">
        <v>7</v>
      </c>
      <c r="H10" s="1226">
        <v>8</v>
      </c>
      <c r="I10" s="923">
        <v>9</v>
      </c>
    </row>
    <row r="11" spans="1:12" ht="283.5" customHeight="1">
      <c r="A11" s="1224">
        <v>1</v>
      </c>
      <c r="B11" s="1220" t="s">
        <v>1211</v>
      </c>
      <c r="C11" s="1221">
        <v>56.75574780000079</v>
      </c>
      <c r="D11" s="822">
        <v>0</v>
      </c>
      <c r="E11" s="822">
        <f>C11-D11</f>
        <v>56.75574780000079</v>
      </c>
      <c r="F11" s="822">
        <v>0</v>
      </c>
      <c r="G11" s="931" t="s">
        <v>1368</v>
      </c>
      <c r="H11" s="932" t="s">
        <v>1507</v>
      </c>
      <c r="I11" s="924"/>
      <c r="L11" s="723">
        <f>56.56-35.59</f>
        <v>20.97</v>
      </c>
    </row>
    <row r="12" spans="1:12" ht="78.75">
      <c r="A12" s="1224">
        <v>2</v>
      </c>
      <c r="B12" s="947" t="s">
        <v>1212</v>
      </c>
      <c r="C12" s="1221">
        <v>2.9250059999999394</v>
      </c>
      <c r="D12" s="822">
        <v>0</v>
      </c>
      <c r="E12" s="822">
        <f t="shared" ref="E12:E24" si="0">C12-D12</f>
        <v>2.9250059999999394</v>
      </c>
      <c r="F12" s="822">
        <v>0</v>
      </c>
      <c r="G12" s="931" t="s">
        <v>1368</v>
      </c>
      <c r="H12" s="932" t="s">
        <v>1464</v>
      </c>
      <c r="I12" s="925"/>
    </row>
    <row r="13" spans="1:12" ht="63">
      <c r="A13" s="1224">
        <v>3</v>
      </c>
      <c r="B13" s="947" t="s">
        <v>1213</v>
      </c>
      <c r="C13" s="1221">
        <v>3.3200000000000007E-2</v>
      </c>
      <c r="D13" s="822">
        <v>0</v>
      </c>
      <c r="E13" s="822">
        <f t="shared" si="0"/>
        <v>3.3200000000000007E-2</v>
      </c>
      <c r="F13" s="822">
        <v>0</v>
      </c>
      <c r="G13" s="931" t="s">
        <v>1368</v>
      </c>
      <c r="H13" s="932" t="s">
        <v>1455</v>
      </c>
      <c r="I13" s="925"/>
    </row>
    <row r="14" spans="1:12" ht="47.25">
      <c r="A14" s="1224">
        <v>4</v>
      </c>
      <c r="B14" s="947" t="s">
        <v>471</v>
      </c>
      <c r="C14" s="1221">
        <v>0.38000000000000078</v>
      </c>
      <c r="D14" s="822">
        <v>0</v>
      </c>
      <c r="E14" s="822">
        <f t="shared" si="0"/>
        <v>0.38000000000000078</v>
      </c>
      <c r="F14" s="822">
        <v>0</v>
      </c>
      <c r="G14" s="931" t="s">
        <v>1368</v>
      </c>
      <c r="H14" s="932" t="s">
        <v>1456</v>
      </c>
      <c r="I14" s="925"/>
    </row>
    <row r="15" spans="1:12" ht="47.25">
      <c r="A15" s="1224">
        <v>5</v>
      </c>
      <c r="B15" s="947" t="s">
        <v>474</v>
      </c>
      <c r="C15" s="1221">
        <v>3.0000000000001137E-2</v>
      </c>
      <c r="D15" s="822">
        <v>0</v>
      </c>
      <c r="E15" s="822">
        <f t="shared" si="0"/>
        <v>3.0000000000001137E-2</v>
      </c>
      <c r="F15" s="822">
        <v>0</v>
      </c>
      <c r="G15" s="931" t="s">
        <v>1368</v>
      </c>
      <c r="H15" s="932" t="s">
        <v>1457</v>
      </c>
      <c r="I15" s="925"/>
    </row>
    <row r="16" spans="1:12" ht="78.75">
      <c r="A16" s="1224">
        <v>6</v>
      </c>
      <c r="B16" s="947" t="s">
        <v>1215</v>
      </c>
      <c r="C16" s="1221">
        <v>0.44999999999999996</v>
      </c>
      <c r="D16" s="822">
        <v>0</v>
      </c>
      <c r="E16" s="822">
        <f t="shared" si="0"/>
        <v>0.44999999999999996</v>
      </c>
      <c r="F16" s="822">
        <v>0</v>
      </c>
      <c r="G16" s="931" t="s">
        <v>1369</v>
      </c>
      <c r="H16" s="932" t="s">
        <v>1465</v>
      </c>
      <c r="I16" s="925"/>
    </row>
    <row r="17" spans="1:9" ht="83.25" customHeight="1">
      <c r="A17" s="1224">
        <v>7</v>
      </c>
      <c r="B17" s="947" t="s">
        <v>478</v>
      </c>
      <c r="C17" s="1221">
        <v>8.02</v>
      </c>
      <c r="D17" s="822">
        <v>0</v>
      </c>
      <c r="E17" s="822">
        <f t="shared" si="0"/>
        <v>8.02</v>
      </c>
      <c r="F17" s="822">
        <v>0</v>
      </c>
      <c r="G17" s="1493" t="s">
        <v>1368</v>
      </c>
      <c r="H17" s="934" t="s">
        <v>1460</v>
      </c>
      <c r="I17" s="925"/>
    </row>
    <row r="18" spans="1:9" ht="84.75" customHeight="1">
      <c r="A18" s="1224">
        <v>8</v>
      </c>
      <c r="B18" s="947" t="s">
        <v>1216</v>
      </c>
      <c r="C18" s="1221">
        <v>2.5499999999999972</v>
      </c>
      <c r="D18" s="822">
        <v>0</v>
      </c>
      <c r="E18" s="822">
        <f t="shared" si="0"/>
        <v>2.5499999999999972</v>
      </c>
      <c r="F18" s="822">
        <v>0</v>
      </c>
      <c r="G18" s="1493" t="s">
        <v>1368</v>
      </c>
      <c r="H18" s="1651" t="s">
        <v>1458</v>
      </c>
      <c r="I18" s="925"/>
    </row>
    <row r="19" spans="1:9" ht="110.25">
      <c r="A19" s="1224">
        <v>9</v>
      </c>
      <c r="B19" s="1220" t="s">
        <v>1217</v>
      </c>
      <c r="C19" s="1221">
        <v>2.2100000000000009</v>
      </c>
      <c r="D19" s="822">
        <v>0</v>
      </c>
      <c r="E19" s="822">
        <f t="shared" si="0"/>
        <v>2.2100000000000009</v>
      </c>
      <c r="F19" s="822">
        <v>0</v>
      </c>
      <c r="G19" s="1650" t="s">
        <v>1368</v>
      </c>
      <c r="H19" s="932" t="s">
        <v>1459</v>
      </c>
      <c r="I19" s="925"/>
    </row>
    <row r="20" spans="1:9" ht="47.25">
      <c r="A20" s="1224">
        <v>10</v>
      </c>
      <c r="B20" s="947" t="s">
        <v>484</v>
      </c>
      <c r="C20" s="1221">
        <v>8.9999999999999858E-2</v>
      </c>
      <c r="D20" s="822">
        <v>0</v>
      </c>
      <c r="E20" s="822">
        <f>C20-D20</f>
        <v>8.9999999999999858E-2</v>
      </c>
      <c r="F20" s="822">
        <v>0</v>
      </c>
      <c r="G20" s="931" t="s">
        <v>1368</v>
      </c>
      <c r="H20" s="932" t="s">
        <v>1456</v>
      </c>
      <c r="I20" s="925"/>
    </row>
    <row r="21" spans="1:9" ht="47.25">
      <c r="A21" s="1224">
        <v>11</v>
      </c>
      <c r="B21" s="947" t="s">
        <v>489</v>
      </c>
      <c r="C21" s="1222">
        <v>1.97</v>
      </c>
      <c r="D21" s="822">
        <v>0</v>
      </c>
      <c r="E21" s="822">
        <f t="shared" si="0"/>
        <v>1.97</v>
      </c>
      <c r="F21" s="822">
        <v>0</v>
      </c>
      <c r="G21" s="931" t="s">
        <v>1368</v>
      </c>
      <c r="H21" s="932" t="s">
        <v>1456</v>
      </c>
      <c r="I21" s="926"/>
    </row>
    <row r="22" spans="1:9" ht="47.25">
      <c r="A22" s="1224">
        <v>12</v>
      </c>
      <c r="B22" s="1223" t="s">
        <v>1218</v>
      </c>
      <c r="C22" s="1222">
        <v>1.07</v>
      </c>
      <c r="D22" s="822">
        <v>0</v>
      </c>
      <c r="E22" s="822">
        <f t="shared" ref="E22" si="1">C22-D22</f>
        <v>1.07</v>
      </c>
      <c r="F22" s="822">
        <v>0</v>
      </c>
      <c r="G22" s="931" t="s">
        <v>1368</v>
      </c>
      <c r="H22" s="932" t="s">
        <v>1456</v>
      </c>
      <c r="I22" s="922"/>
    </row>
    <row r="23" spans="1:9" ht="47.25">
      <c r="A23" s="1224">
        <v>13</v>
      </c>
      <c r="B23" s="947" t="s">
        <v>1219</v>
      </c>
      <c r="C23" s="1221">
        <v>2.379999999999427E-2</v>
      </c>
      <c r="D23" s="822">
        <v>0</v>
      </c>
      <c r="E23" s="822">
        <f t="shared" si="0"/>
        <v>2.379999999999427E-2</v>
      </c>
      <c r="F23" s="822">
        <v>0</v>
      </c>
      <c r="G23" s="931" t="s">
        <v>1368</v>
      </c>
      <c r="H23" s="932" t="s">
        <v>1456</v>
      </c>
      <c r="I23" s="925"/>
    </row>
    <row r="24" spans="1:9" ht="15.75">
      <c r="A24" s="1024"/>
      <c r="B24" s="726" t="s">
        <v>413</v>
      </c>
      <c r="C24" s="1233">
        <f>+SUM(C11:C23)</f>
        <v>76.507753800000728</v>
      </c>
      <c r="D24" s="936"/>
      <c r="E24" s="937">
        <f t="shared" si="0"/>
        <v>76.507753800000728</v>
      </c>
      <c r="F24" s="936"/>
      <c r="G24" s="725"/>
      <c r="H24" s="725"/>
      <c r="I24" s="925"/>
    </row>
    <row r="25" spans="1:9" ht="15.75">
      <c r="A25" s="1025"/>
      <c r="B25" s="727"/>
      <c r="C25" s="727"/>
      <c r="D25" s="727"/>
      <c r="E25" s="727"/>
      <c r="F25" s="727"/>
      <c r="G25" s="727"/>
      <c r="H25" s="727"/>
      <c r="I25" s="926"/>
    </row>
    <row r="26" spans="1:9" ht="140.25" customHeight="1">
      <c r="A26" s="1870" t="s">
        <v>1221</v>
      </c>
      <c r="B26" s="1871"/>
      <c r="C26" s="1871"/>
      <c r="D26" s="1871"/>
      <c r="E26" s="1871"/>
      <c r="F26" s="1871"/>
      <c r="G26" s="1871"/>
      <c r="H26" s="1871"/>
      <c r="I26" s="1872"/>
    </row>
    <row r="27" spans="1:9">
      <c r="A27" s="919"/>
      <c r="I27" s="922"/>
    </row>
    <row r="28" spans="1:9" ht="12.75" customHeight="1">
      <c r="A28" s="919"/>
      <c r="H28" s="1242" t="s">
        <v>289</v>
      </c>
      <c r="I28" s="1243"/>
    </row>
    <row r="29" spans="1:9" ht="13.5" customHeight="1" thickBot="1">
      <c r="A29" s="927"/>
      <c r="B29" s="928"/>
      <c r="C29" s="928"/>
      <c r="D29" s="928"/>
      <c r="E29" s="928"/>
      <c r="F29" s="928"/>
      <c r="G29" s="929"/>
      <c r="H29" s="1244"/>
      <c r="I29" s="1245"/>
    </row>
  </sheetData>
  <mergeCells count="12">
    <mergeCell ref="A26:I26"/>
    <mergeCell ref="B2:H2"/>
    <mergeCell ref="A3:C3"/>
    <mergeCell ref="A4:C4"/>
    <mergeCell ref="A5:C5"/>
    <mergeCell ref="H7:I7"/>
    <mergeCell ref="I8:I9"/>
    <mergeCell ref="A8:A9"/>
    <mergeCell ref="B8:B9"/>
    <mergeCell ref="C8:F8"/>
    <mergeCell ref="G8:G9"/>
    <mergeCell ref="H8:H9"/>
  </mergeCells>
  <pageMargins left="0.7" right="0.7" top="0.36" bottom="0.44" header="0.3" footer="0.3"/>
  <pageSetup paperSize="9" scale="60"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I27"/>
  <sheetViews>
    <sheetView zoomScaleNormal="100" workbookViewId="0">
      <selection activeCell="H12" sqref="H12"/>
    </sheetView>
  </sheetViews>
  <sheetFormatPr defaultColWidth="9.33203125" defaultRowHeight="12.75"/>
  <cols>
    <col min="1" max="1" width="9.1640625" style="723" customWidth="1"/>
    <col min="2" max="2" width="39.33203125" style="723" bestFit="1" customWidth="1"/>
    <col min="3" max="3" width="10.33203125" style="723" bestFit="1" customWidth="1"/>
    <col min="4" max="4" width="24.1640625" style="723" customWidth="1"/>
    <col min="5" max="5" width="14.6640625" style="723" customWidth="1"/>
    <col min="6" max="6" width="13.33203125" style="723" customWidth="1"/>
    <col min="7" max="7" width="17" style="723" customWidth="1"/>
    <col min="8" max="8" width="74.83203125" style="723" customWidth="1"/>
    <col min="9" max="9" width="16.5" style="723" customWidth="1"/>
    <col min="10" max="16384" width="9.33203125" style="723"/>
  </cols>
  <sheetData>
    <row r="1" spans="1:9" ht="13.5" thickBot="1"/>
    <row r="2" spans="1:9" ht="15.75">
      <c r="A2" s="918"/>
      <c r="B2" s="1873" t="s">
        <v>1406</v>
      </c>
      <c r="C2" s="1873"/>
      <c r="D2" s="1873"/>
      <c r="E2" s="1873"/>
      <c r="F2" s="1873"/>
      <c r="G2" s="1873"/>
      <c r="H2" s="1873"/>
      <c r="I2" s="415" t="s">
        <v>504</v>
      </c>
    </row>
    <row r="3" spans="1:9" ht="15.75" customHeight="1">
      <c r="A3" s="1874" t="s">
        <v>1196</v>
      </c>
      <c r="B3" s="1875"/>
      <c r="C3" s="1875"/>
      <c r="D3" s="920" t="s">
        <v>417</v>
      </c>
      <c r="E3" s="722"/>
      <c r="F3" s="722"/>
      <c r="G3" s="722"/>
      <c r="H3" s="722"/>
      <c r="I3" s="921"/>
    </row>
    <row r="4" spans="1:9" ht="15.75" customHeight="1">
      <c r="A4" s="1874" t="s">
        <v>1197</v>
      </c>
      <c r="B4" s="1875"/>
      <c r="C4" s="1875"/>
      <c r="D4" s="920" t="s">
        <v>415</v>
      </c>
      <c r="E4" s="722"/>
      <c r="F4" s="722"/>
      <c r="G4" s="722"/>
      <c r="H4" s="722"/>
      <c r="I4" s="921"/>
    </row>
    <row r="5" spans="1:9" ht="15.75" customHeight="1">
      <c r="A5" s="1874" t="s">
        <v>1198</v>
      </c>
      <c r="B5" s="1875"/>
      <c r="C5" s="1875"/>
      <c r="D5" s="724" t="s">
        <v>865</v>
      </c>
      <c r="E5" s="722"/>
      <c r="F5" s="722"/>
      <c r="G5" s="722"/>
      <c r="H5" s="722"/>
      <c r="I5" s="921"/>
    </row>
    <row r="6" spans="1:9">
      <c r="A6" s="919"/>
      <c r="I6" s="922"/>
    </row>
    <row r="7" spans="1:9">
      <c r="A7" s="919"/>
      <c r="H7" s="1876" t="s">
        <v>1199</v>
      </c>
      <c r="I7" s="1877"/>
    </row>
    <row r="8" spans="1:9" ht="15.75" customHeight="1">
      <c r="A8" s="1880" t="s">
        <v>1200</v>
      </c>
      <c r="B8" s="1882" t="s">
        <v>1201</v>
      </c>
      <c r="C8" s="1884" t="s">
        <v>1202</v>
      </c>
      <c r="D8" s="1885"/>
      <c r="E8" s="1885"/>
      <c r="F8" s="1886"/>
      <c r="G8" s="1882" t="s">
        <v>1203</v>
      </c>
      <c r="H8" s="1882" t="s">
        <v>1204</v>
      </c>
      <c r="I8" s="1878" t="s">
        <v>1205</v>
      </c>
    </row>
    <row r="9" spans="1:9" ht="46.5" customHeight="1">
      <c r="A9" s="1881"/>
      <c r="B9" s="1883"/>
      <c r="C9" s="1230" t="s">
        <v>1206</v>
      </c>
      <c r="D9" s="1230" t="s">
        <v>1207</v>
      </c>
      <c r="E9" s="1230" t="s">
        <v>1208</v>
      </c>
      <c r="F9" s="1230" t="s">
        <v>1209</v>
      </c>
      <c r="G9" s="1883"/>
      <c r="H9" s="1883"/>
      <c r="I9" s="1879"/>
    </row>
    <row r="10" spans="1:9" ht="17.25" customHeight="1">
      <c r="A10" s="1225">
        <v>1</v>
      </c>
      <c r="B10" s="1226">
        <v>2</v>
      </c>
      <c r="C10" s="1226">
        <v>3</v>
      </c>
      <c r="D10" s="1227">
        <v>4</v>
      </c>
      <c r="E10" s="1228" t="s">
        <v>1210</v>
      </c>
      <c r="F10" s="1227">
        <v>6</v>
      </c>
      <c r="G10" s="1227">
        <v>7</v>
      </c>
      <c r="H10" s="1227">
        <v>8</v>
      </c>
      <c r="I10" s="1229">
        <v>9</v>
      </c>
    </row>
    <row r="11" spans="1:9" ht="63">
      <c r="A11" s="1224">
        <v>1</v>
      </c>
      <c r="B11" s="1220" t="s">
        <v>1211</v>
      </c>
      <c r="C11" s="822">
        <v>13.83</v>
      </c>
      <c r="D11" s="822">
        <v>0</v>
      </c>
      <c r="E11" s="822">
        <f>C11-D11</f>
        <v>13.83</v>
      </c>
      <c r="F11" s="822">
        <v>0</v>
      </c>
      <c r="G11" s="931" t="s">
        <v>1368</v>
      </c>
      <c r="H11" s="932" t="s">
        <v>1466</v>
      </c>
      <c r="I11" s="925"/>
    </row>
    <row r="12" spans="1:9" ht="63">
      <c r="A12" s="1224">
        <v>2</v>
      </c>
      <c r="B12" s="947" t="s">
        <v>1212</v>
      </c>
      <c r="C12" s="822">
        <v>0.24</v>
      </c>
      <c r="D12" s="822">
        <v>0</v>
      </c>
      <c r="E12" s="822">
        <f t="shared" ref="E12:E21" si="0">C12-D12</f>
        <v>0.24</v>
      </c>
      <c r="F12" s="822">
        <v>0</v>
      </c>
      <c r="G12" s="931" t="s">
        <v>1368</v>
      </c>
      <c r="H12" s="932" t="s">
        <v>1467</v>
      </c>
      <c r="I12" s="925"/>
    </row>
    <row r="13" spans="1:9" ht="63">
      <c r="A13" s="1224">
        <v>3</v>
      </c>
      <c r="B13" s="947" t="s">
        <v>1215</v>
      </c>
      <c r="C13" s="822">
        <v>8.6199999999999999E-2</v>
      </c>
      <c r="D13" s="822">
        <v>0</v>
      </c>
      <c r="E13" s="822">
        <f t="shared" si="0"/>
        <v>8.6199999999999999E-2</v>
      </c>
      <c r="F13" s="822">
        <v>0</v>
      </c>
      <c r="G13" s="931" t="s">
        <v>1369</v>
      </c>
      <c r="H13" s="934" t="s">
        <v>1468</v>
      </c>
      <c r="I13" s="925"/>
    </row>
    <row r="14" spans="1:9" ht="82.5" customHeight="1">
      <c r="A14" s="1224">
        <v>4</v>
      </c>
      <c r="B14" s="947" t="s">
        <v>478</v>
      </c>
      <c r="C14" s="822">
        <v>15.4</v>
      </c>
      <c r="D14" s="822">
        <v>0</v>
      </c>
      <c r="E14" s="822">
        <f t="shared" si="0"/>
        <v>15.4</v>
      </c>
      <c r="F14" s="822">
        <v>0</v>
      </c>
      <c r="G14" s="931" t="s">
        <v>1368</v>
      </c>
      <c r="H14" s="830" t="s">
        <v>1470</v>
      </c>
      <c r="I14" s="925"/>
    </row>
    <row r="15" spans="1:9" ht="94.5">
      <c r="A15" s="1224">
        <v>5</v>
      </c>
      <c r="B15" s="1653" t="s">
        <v>1216</v>
      </c>
      <c r="C15" s="1654">
        <v>0.63999999999998636</v>
      </c>
      <c r="D15" s="1654">
        <v>0</v>
      </c>
      <c r="E15" s="1654">
        <f t="shared" si="0"/>
        <v>0.63999999999998636</v>
      </c>
      <c r="F15" s="1654">
        <v>0</v>
      </c>
      <c r="G15" s="931" t="s">
        <v>1368</v>
      </c>
      <c r="H15" s="1655" t="s">
        <v>1458</v>
      </c>
      <c r="I15" s="925"/>
    </row>
    <row r="16" spans="1:9" ht="94.5">
      <c r="A16" s="1224">
        <v>6</v>
      </c>
      <c r="B16" s="1220" t="s">
        <v>1217</v>
      </c>
      <c r="C16" s="822">
        <v>1.759999999999998</v>
      </c>
      <c r="D16" s="822">
        <v>0</v>
      </c>
      <c r="E16" s="822">
        <f t="shared" si="0"/>
        <v>1.759999999999998</v>
      </c>
      <c r="F16" s="822">
        <v>0</v>
      </c>
      <c r="G16" s="1493" t="s">
        <v>1368</v>
      </c>
      <c r="H16" s="934" t="s">
        <v>1469</v>
      </c>
      <c r="I16" s="1652"/>
    </row>
    <row r="17" spans="1:9" ht="63">
      <c r="A17" s="1224">
        <v>7</v>
      </c>
      <c r="B17" s="947" t="s">
        <v>484</v>
      </c>
      <c r="C17" s="822">
        <v>0.21999999999999975</v>
      </c>
      <c r="D17" s="822">
        <v>0</v>
      </c>
      <c r="E17" s="822">
        <f>C17-D17</f>
        <v>0.21999999999999975</v>
      </c>
      <c r="F17" s="822">
        <v>0</v>
      </c>
      <c r="G17" s="1493" t="s">
        <v>1368</v>
      </c>
      <c r="H17" s="934" t="s">
        <v>1456</v>
      </c>
      <c r="I17" s="1652"/>
    </row>
    <row r="18" spans="1:9" ht="63">
      <c r="A18" s="1224">
        <v>8</v>
      </c>
      <c r="B18" s="947" t="s">
        <v>489</v>
      </c>
      <c r="C18" s="1222">
        <v>3.74</v>
      </c>
      <c r="D18" s="822">
        <v>0</v>
      </c>
      <c r="E18" s="822">
        <f t="shared" si="0"/>
        <v>3.74</v>
      </c>
      <c r="F18" s="822">
        <v>0</v>
      </c>
      <c r="G18" s="1493" t="s">
        <v>1368</v>
      </c>
      <c r="H18" s="934" t="s">
        <v>1456</v>
      </c>
      <c r="I18" s="1652"/>
    </row>
    <row r="19" spans="1:9" ht="63">
      <c r="A19" s="1224">
        <v>9</v>
      </c>
      <c r="B19" s="1223" t="s">
        <v>1218</v>
      </c>
      <c r="C19" s="1222">
        <v>-3.08</v>
      </c>
      <c r="D19" s="822">
        <v>0</v>
      </c>
      <c r="E19" s="822">
        <f t="shared" si="0"/>
        <v>-3.08</v>
      </c>
      <c r="F19" s="822">
        <v>0</v>
      </c>
      <c r="G19" s="1493" t="s">
        <v>1368</v>
      </c>
      <c r="H19" s="934" t="s">
        <v>1434</v>
      </c>
      <c r="I19" s="926"/>
    </row>
    <row r="20" spans="1:9" ht="63">
      <c r="A20" s="1224">
        <v>10</v>
      </c>
      <c r="B20" s="1656" t="s">
        <v>1219</v>
      </c>
      <c r="C20" s="1657">
        <v>0.01</v>
      </c>
      <c r="D20" s="1657">
        <v>0</v>
      </c>
      <c r="E20" s="1657">
        <f t="shared" si="0"/>
        <v>0.01</v>
      </c>
      <c r="F20" s="1657"/>
      <c r="G20" s="1650" t="s">
        <v>1368</v>
      </c>
      <c r="H20" s="1658" t="s">
        <v>1456</v>
      </c>
      <c r="I20" s="925"/>
    </row>
    <row r="21" spans="1:9" ht="15" customHeight="1">
      <c r="A21" s="1024"/>
      <c r="B21" s="726" t="s">
        <v>413</v>
      </c>
      <c r="C21" s="933">
        <f>+SUM(C11:C20)</f>
        <v>32.846199999999989</v>
      </c>
      <c r="D21" s="938"/>
      <c r="E21" s="933">
        <f t="shared" si="0"/>
        <v>32.846199999999989</v>
      </c>
      <c r="F21" s="938"/>
      <c r="G21" s="725"/>
      <c r="H21" s="725"/>
      <c r="I21" s="925"/>
    </row>
    <row r="22" spans="1:9" ht="15" customHeight="1">
      <c r="A22" s="1025"/>
      <c r="B22" s="727"/>
      <c r="C22" s="727"/>
      <c r="D22" s="727"/>
      <c r="E22" s="727"/>
      <c r="F22" s="727"/>
      <c r="G22" s="727"/>
      <c r="H22" s="727"/>
      <c r="I22" s="926"/>
    </row>
    <row r="23" spans="1:9">
      <c r="A23" s="919"/>
      <c r="I23" s="922"/>
    </row>
    <row r="24" spans="1:9" ht="131.25" customHeight="1">
      <c r="A24" s="1870" t="s">
        <v>1221</v>
      </c>
      <c r="B24" s="1871"/>
      <c r="C24" s="1871"/>
      <c r="D24" s="1871"/>
      <c r="E24" s="1871"/>
      <c r="F24" s="1871"/>
      <c r="G24" s="1871"/>
      <c r="H24" s="1871"/>
      <c r="I24" s="1872"/>
    </row>
    <row r="25" spans="1:9" ht="12.75" customHeight="1">
      <c r="A25" s="1248"/>
      <c r="B25" s="1246"/>
      <c r="C25" s="1246"/>
      <c r="D25" s="1246"/>
      <c r="E25" s="1246"/>
      <c r="F25" s="1246"/>
      <c r="G25" s="1246"/>
      <c r="H25" s="1246"/>
      <c r="I25" s="1247"/>
    </row>
    <row r="26" spans="1:9">
      <c r="A26" s="919"/>
      <c r="H26" s="1887" t="s">
        <v>289</v>
      </c>
      <c r="I26" s="1888"/>
    </row>
    <row r="27" spans="1:9" ht="13.5" thickBot="1">
      <c r="A27" s="927"/>
      <c r="B27" s="928"/>
      <c r="C27" s="928"/>
      <c r="D27" s="928"/>
      <c r="E27" s="928"/>
      <c r="F27" s="928"/>
      <c r="G27" s="929"/>
      <c r="H27" s="1889"/>
      <c r="I27" s="1890"/>
    </row>
  </sheetData>
  <mergeCells count="13">
    <mergeCell ref="B2:H2"/>
    <mergeCell ref="H26:I27"/>
    <mergeCell ref="A3:C3"/>
    <mergeCell ref="A4:C4"/>
    <mergeCell ref="A5:C5"/>
    <mergeCell ref="H7:I7"/>
    <mergeCell ref="A8:A9"/>
    <mergeCell ref="B8:B9"/>
    <mergeCell ref="C8:F8"/>
    <mergeCell ref="G8:G9"/>
    <mergeCell ref="H8:H9"/>
    <mergeCell ref="I8:I9"/>
    <mergeCell ref="A24:I24"/>
  </mergeCells>
  <pageMargins left="0.7" right="0.7" top="0.75" bottom="0.75" header="0.3" footer="0.3"/>
  <pageSetup paperSize="9" scale="66" fitToHeight="2" orientation="landscape" r:id="rId1"/>
</worksheet>
</file>

<file path=xl/worksheets/sheet15.xml><?xml version="1.0" encoding="utf-8"?>
<worksheet xmlns="http://schemas.openxmlformats.org/spreadsheetml/2006/main" xmlns:r="http://schemas.openxmlformats.org/officeDocument/2006/relationships">
  <sheetPr>
    <pageSetUpPr fitToPage="1"/>
  </sheetPr>
  <dimension ref="A1:I29"/>
  <sheetViews>
    <sheetView zoomScaleNormal="100" workbookViewId="0">
      <selection activeCell="H11" sqref="H11"/>
    </sheetView>
  </sheetViews>
  <sheetFormatPr defaultColWidth="9.33203125" defaultRowHeight="12.75"/>
  <cols>
    <col min="1" max="1" width="9.1640625" style="723" customWidth="1"/>
    <col min="2" max="2" width="39.33203125" style="723" bestFit="1" customWidth="1"/>
    <col min="3" max="3" width="10.33203125" style="723" bestFit="1" customWidth="1"/>
    <col min="4" max="4" width="21.1640625" style="723" customWidth="1"/>
    <col min="5" max="5" width="14.6640625" style="723" customWidth="1"/>
    <col min="6" max="6" width="18" style="723" customWidth="1"/>
    <col min="7" max="7" width="15.1640625" style="723" customWidth="1"/>
    <col min="8" max="8" width="87.33203125" style="723" customWidth="1"/>
    <col min="9" max="9" width="16.5" style="723" customWidth="1"/>
    <col min="10" max="16384" width="9.33203125" style="723"/>
  </cols>
  <sheetData>
    <row r="1" spans="1:9" ht="13.5" thickBot="1"/>
    <row r="2" spans="1:9" ht="15.75">
      <c r="A2" s="918"/>
      <c r="B2" s="1873" t="s">
        <v>1406</v>
      </c>
      <c r="C2" s="1873"/>
      <c r="D2" s="1873"/>
      <c r="E2" s="1873"/>
      <c r="F2" s="1873"/>
      <c r="G2" s="1873"/>
      <c r="H2" s="1873"/>
      <c r="I2" s="415" t="s">
        <v>504</v>
      </c>
    </row>
    <row r="3" spans="1:9" ht="15.75" customHeight="1">
      <c r="A3" s="1874" t="s">
        <v>1196</v>
      </c>
      <c r="B3" s="1875"/>
      <c r="C3" s="1875"/>
      <c r="D3" s="920" t="s">
        <v>417</v>
      </c>
      <c r="E3" s="722"/>
      <c r="F3" s="722"/>
      <c r="G3" s="722"/>
      <c r="H3" s="722"/>
      <c r="I3" s="921"/>
    </row>
    <row r="4" spans="1:9" ht="15.75" customHeight="1">
      <c r="A4" s="1874" t="s">
        <v>1197</v>
      </c>
      <c r="B4" s="1875"/>
      <c r="C4" s="1875"/>
      <c r="D4" s="920" t="s">
        <v>415</v>
      </c>
      <c r="E4" s="722"/>
      <c r="F4" s="722"/>
      <c r="G4" s="722"/>
      <c r="H4" s="722"/>
      <c r="I4" s="921"/>
    </row>
    <row r="5" spans="1:9" ht="15.75" customHeight="1">
      <c r="A5" s="1874" t="s">
        <v>1198</v>
      </c>
      <c r="B5" s="1875"/>
      <c r="C5" s="1875"/>
      <c r="D5" s="724" t="s">
        <v>866</v>
      </c>
      <c r="E5" s="722"/>
      <c r="F5" s="722"/>
      <c r="G5" s="722"/>
      <c r="H5" s="722"/>
      <c r="I5" s="921"/>
    </row>
    <row r="6" spans="1:9">
      <c r="A6" s="919"/>
      <c r="I6" s="922"/>
    </row>
    <row r="7" spans="1:9">
      <c r="A7" s="919"/>
      <c r="H7" s="1876" t="s">
        <v>1199</v>
      </c>
      <c r="I7" s="1877"/>
    </row>
    <row r="8" spans="1:9" ht="15.75" customHeight="1">
      <c r="A8" s="1880" t="s">
        <v>1200</v>
      </c>
      <c r="B8" s="1882" t="s">
        <v>1201</v>
      </c>
      <c r="C8" s="1884" t="s">
        <v>1202</v>
      </c>
      <c r="D8" s="1885"/>
      <c r="E8" s="1885"/>
      <c r="F8" s="1886"/>
      <c r="G8" s="1882" t="s">
        <v>1203</v>
      </c>
      <c r="H8" s="1882" t="s">
        <v>1204</v>
      </c>
      <c r="I8" s="1878" t="s">
        <v>1205</v>
      </c>
    </row>
    <row r="9" spans="1:9" ht="64.5" customHeight="1">
      <c r="A9" s="1881"/>
      <c r="B9" s="1883"/>
      <c r="C9" s="1230" t="s">
        <v>1206</v>
      </c>
      <c r="D9" s="1230" t="s">
        <v>1207</v>
      </c>
      <c r="E9" s="1230" t="s">
        <v>1208</v>
      </c>
      <c r="F9" s="1230" t="s">
        <v>1209</v>
      </c>
      <c r="G9" s="1883"/>
      <c r="H9" s="1883"/>
      <c r="I9" s="1879"/>
    </row>
    <row r="10" spans="1:9" ht="17.25" customHeight="1">
      <c r="A10" s="1232">
        <v>1</v>
      </c>
      <c r="B10" s="1227">
        <v>2</v>
      </c>
      <c r="C10" s="1227">
        <v>3</v>
      </c>
      <c r="D10" s="1227">
        <v>4</v>
      </c>
      <c r="E10" s="1228" t="s">
        <v>1210</v>
      </c>
      <c r="F10" s="1227">
        <v>6</v>
      </c>
      <c r="G10" s="1227">
        <v>7</v>
      </c>
      <c r="H10" s="1227">
        <v>8</v>
      </c>
      <c r="I10" s="1229">
        <v>9</v>
      </c>
    </row>
    <row r="11" spans="1:9" ht="115.5" customHeight="1">
      <c r="A11" s="1224">
        <v>1</v>
      </c>
      <c r="B11" s="1220" t="s">
        <v>1211</v>
      </c>
      <c r="C11" s="822">
        <v>10.047136799998952</v>
      </c>
      <c r="D11" s="822">
        <v>0</v>
      </c>
      <c r="E11" s="822">
        <f>C11-D11</f>
        <v>10.047136799998952</v>
      </c>
      <c r="F11" s="822">
        <v>0</v>
      </c>
      <c r="G11" s="931" t="s">
        <v>1368</v>
      </c>
      <c r="H11" s="935" t="s">
        <v>1473</v>
      </c>
      <c r="I11" s="930"/>
    </row>
    <row r="12" spans="1:9" ht="47.25">
      <c r="A12" s="1224">
        <v>2</v>
      </c>
      <c r="B12" s="947" t="s">
        <v>1212</v>
      </c>
      <c r="C12" s="822">
        <v>1.0199999999999818</v>
      </c>
      <c r="D12" s="822">
        <v>0</v>
      </c>
      <c r="E12" s="822">
        <f t="shared" ref="E12:E23" si="0">C12-D12</f>
        <v>1.0199999999999818</v>
      </c>
      <c r="F12" s="822">
        <v>0</v>
      </c>
      <c r="G12" s="931" t="s">
        <v>1368</v>
      </c>
      <c r="H12" s="935" t="s">
        <v>1435</v>
      </c>
      <c r="I12" s="930"/>
    </row>
    <row r="13" spans="1:9" ht="47.25">
      <c r="A13" s="1224">
        <v>3</v>
      </c>
      <c r="B13" s="1220" t="s">
        <v>1214</v>
      </c>
      <c r="C13" s="822">
        <v>3.3599999999999994</v>
      </c>
      <c r="D13" s="822">
        <v>0</v>
      </c>
      <c r="E13" s="822">
        <f t="shared" si="0"/>
        <v>3.3599999999999994</v>
      </c>
      <c r="F13" s="822">
        <v>0</v>
      </c>
      <c r="G13" s="931" t="s">
        <v>1368</v>
      </c>
      <c r="H13" s="934" t="s">
        <v>1436</v>
      </c>
      <c r="I13" s="925"/>
    </row>
    <row r="14" spans="1:9" ht="67.5" customHeight="1">
      <c r="A14" s="1224">
        <v>4</v>
      </c>
      <c r="B14" s="947" t="s">
        <v>474</v>
      </c>
      <c r="C14" s="822">
        <v>0.32999999999999829</v>
      </c>
      <c r="D14" s="822">
        <v>0</v>
      </c>
      <c r="E14" s="822">
        <f>C14-D14</f>
        <v>0.32999999999999829</v>
      </c>
      <c r="F14" s="822">
        <v>0</v>
      </c>
      <c r="G14" s="931" t="s">
        <v>1368</v>
      </c>
      <c r="H14" s="934" t="s">
        <v>1437</v>
      </c>
      <c r="I14" s="925"/>
    </row>
    <row r="15" spans="1:9" ht="63">
      <c r="A15" s="1224">
        <v>5</v>
      </c>
      <c r="B15" s="947" t="s">
        <v>1215</v>
      </c>
      <c r="C15" s="822">
        <v>0.18</v>
      </c>
      <c r="D15" s="822">
        <v>0</v>
      </c>
      <c r="E15" s="822">
        <f t="shared" si="0"/>
        <v>0.18</v>
      </c>
      <c r="F15" s="822">
        <v>0</v>
      </c>
      <c r="G15" s="931" t="s">
        <v>1369</v>
      </c>
      <c r="H15" s="934" t="s">
        <v>1433</v>
      </c>
      <c r="I15" s="925"/>
    </row>
    <row r="16" spans="1:9" ht="63">
      <c r="A16" s="1224">
        <v>6</v>
      </c>
      <c r="B16" s="947" t="s">
        <v>478</v>
      </c>
      <c r="C16" s="822">
        <v>0.34</v>
      </c>
      <c r="D16" s="822">
        <v>0</v>
      </c>
      <c r="E16" s="822">
        <f t="shared" si="0"/>
        <v>0.34</v>
      </c>
      <c r="F16" s="822">
        <v>0</v>
      </c>
      <c r="G16" s="931" t="s">
        <v>1368</v>
      </c>
      <c r="H16" s="830" t="s">
        <v>1438</v>
      </c>
      <c r="I16" s="925"/>
    </row>
    <row r="17" spans="1:9" ht="80.25" customHeight="1">
      <c r="A17" s="1224">
        <v>7</v>
      </c>
      <c r="B17" s="1653" t="s">
        <v>1216</v>
      </c>
      <c r="C17" s="1654">
        <v>4.480000000000004</v>
      </c>
      <c r="D17" s="1654">
        <v>0</v>
      </c>
      <c r="E17" s="1654">
        <f t="shared" si="0"/>
        <v>4.480000000000004</v>
      </c>
      <c r="F17" s="1654">
        <v>0</v>
      </c>
      <c r="G17" s="931" t="s">
        <v>1368</v>
      </c>
      <c r="H17" s="1659" t="s">
        <v>1405</v>
      </c>
      <c r="I17" s="925"/>
    </row>
    <row r="18" spans="1:9" ht="66.75" customHeight="1">
      <c r="A18" s="1224">
        <v>8</v>
      </c>
      <c r="B18" s="1220" t="s">
        <v>1217</v>
      </c>
      <c r="C18" s="822">
        <v>0.47000000000000242</v>
      </c>
      <c r="D18" s="822">
        <v>0</v>
      </c>
      <c r="E18" s="822">
        <f t="shared" si="0"/>
        <v>0.47000000000000242</v>
      </c>
      <c r="F18" s="822">
        <v>0</v>
      </c>
      <c r="G18" s="1493" t="s">
        <v>1368</v>
      </c>
      <c r="H18" s="934" t="s">
        <v>1439</v>
      </c>
      <c r="I18" s="925"/>
    </row>
    <row r="19" spans="1:9" ht="47.25">
      <c r="A19" s="1224">
        <v>9</v>
      </c>
      <c r="B19" s="947" t="s">
        <v>484</v>
      </c>
      <c r="C19" s="822">
        <v>6.0000000000000497E-2</v>
      </c>
      <c r="D19" s="822">
        <v>0</v>
      </c>
      <c r="E19" s="822">
        <f t="shared" si="0"/>
        <v>6.0000000000000497E-2</v>
      </c>
      <c r="F19" s="822">
        <v>0</v>
      </c>
      <c r="G19" s="1493" t="s">
        <v>1368</v>
      </c>
      <c r="H19" s="934" t="s">
        <v>1404</v>
      </c>
      <c r="I19" s="925"/>
    </row>
    <row r="20" spans="1:9" ht="47.25">
      <c r="A20" s="1224">
        <v>10</v>
      </c>
      <c r="B20" s="1656" t="s">
        <v>489</v>
      </c>
      <c r="C20" s="1660">
        <v>2.4300000000000002</v>
      </c>
      <c r="D20" s="1657">
        <v>0</v>
      </c>
      <c r="E20" s="1657">
        <f t="shared" si="0"/>
        <v>2.4300000000000002</v>
      </c>
      <c r="F20" s="1657">
        <v>0</v>
      </c>
      <c r="G20" s="1650" t="s">
        <v>1368</v>
      </c>
      <c r="H20" s="1649" t="s">
        <v>1404</v>
      </c>
      <c r="I20" s="925"/>
    </row>
    <row r="21" spans="1:9" ht="47.25">
      <c r="A21" s="1224">
        <v>11</v>
      </c>
      <c r="B21" s="1223" t="s">
        <v>1218</v>
      </c>
      <c r="C21" s="1222">
        <v>0.61</v>
      </c>
      <c r="D21" s="822">
        <v>0</v>
      </c>
      <c r="E21" s="822">
        <f t="shared" si="0"/>
        <v>0.61</v>
      </c>
      <c r="F21" s="822">
        <v>0</v>
      </c>
      <c r="G21" s="931" t="s">
        <v>1368</v>
      </c>
      <c r="H21" s="932" t="s">
        <v>1404</v>
      </c>
      <c r="I21" s="926"/>
    </row>
    <row r="22" spans="1:9" ht="47.25">
      <c r="A22" s="1224">
        <v>12</v>
      </c>
      <c r="B22" s="947" t="s">
        <v>1219</v>
      </c>
      <c r="C22" s="822">
        <v>0.85999999999999943</v>
      </c>
      <c r="D22" s="822">
        <v>0</v>
      </c>
      <c r="E22" s="822">
        <f t="shared" si="0"/>
        <v>0.85999999999999943</v>
      </c>
      <c r="F22" s="822">
        <v>0</v>
      </c>
      <c r="G22" s="931" t="s">
        <v>1368</v>
      </c>
      <c r="H22" s="934" t="s">
        <v>1404</v>
      </c>
      <c r="I22" s="925"/>
    </row>
    <row r="23" spans="1:9" ht="15" customHeight="1">
      <c r="A23" s="1024"/>
      <c r="B23" s="726" t="s">
        <v>413</v>
      </c>
      <c r="C23" s="933">
        <f>+SUM(C11:C22)</f>
        <v>24.187136799998939</v>
      </c>
      <c r="D23" s="822"/>
      <c r="E23" s="933">
        <f t="shared" si="0"/>
        <v>24.187136799998939</v>
      </c>
      <c r="F23" s="822"/>
      <c r="G23" s="938"/>
      <c r="H23" s="725"/>
      <c r="I23" s="925"/>
    </row>
    <row r="24" spans="1:9" ht="15" customHeight="1">
      <c r="A24" s="1025"/>
      <c r="B24" s="727"/>
      <c r="C24" s="727"/>
      <c r="D24" s="727"/>
      <c r="E24" s="727"/>
      <c r="F24" s="727"/>
      <c r="G24" s="727"/>
      <c r="H24" s="727"/>
      <c r="I24" s="926"/>
    </row>
    <row r="25" spans="1:9">
      <c r="A25" s="919"/>
      <c r="I25" s="922"/>
    </row>
    <row r="26" spans="1:9" ht="132.75" customHeight="1">
      <c r="A26" s="1870" t="s">
        <v>1221</v>
      </c>
      <c r="B26" s="1871"/>
      <c r="C26" s="1871"/>
      <c r="D26" s="1871"/>
      <c r="E26" s="1871"/>
      <c r="F26" s="1871"/>
      <c r="G26" s="1871"/>
      <c r="H26" s="1871"/>
      <c r="I26" s="1872"/>
    </row>
    <row r="27" spans="1:9">
      <c r="A27" s="919"/>
      <c r="I27" s="922"/>
    </row>
    <row r="28" spans="1:9" ht="12.75" customHeight="1">
      <c r="A28" s="919"/>
      <c r="H28" s="1249" t="s">
        <v>289</v>
      </c>
      <c r="I28" s="1250"/>
    </row>
    <row r="29" spans="1:9" ht="13.5" customHeight="1" thickBot="1">
      <c r="A29" s="927"/>
      <c r="B29" s="928"/>
      <c r="C29" s="928"/>
      <c r="D29" s="928"/>
      <c r="E29" s="928"/>
      <c r="F29" s="928"/>
      <c r="G29" s="929"/>
      <c r="H29" s="1251"/>
      <c r="I29" s="1252"/>
    </row>
  </sheetData>
  <mergeCells count="12">
    <mergeCell ref="B2:H2"/>
    <mergeCell ref="A3:C3"/>
    <mergeCell ref="A4:C4"/>
    <mergeCell ref="A5:C5"/>
    <mergeCell ref="H7:I7"/>
    <mergeCell ref="I8:I9"/>
    <mergeCell ref="A26:I26"/>
    <mergeCell ref="A8:A9"/>
    <mergeCell ref="B8:B9"/>
    <mergeCell ref="C8:F8"/>
    <mergeCell ref="G8:G9"/>
    <mergeCell ref="H8:H9"/>
  </mergeCells>
  <pageMargins left="0.7" right="0.7" top="0.75" bottom="0.75" header="0.3" footer="0.3"/>
  <pageSetup paperSize="9" scale="62" fitToHeight="2"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M38"/>
  <sheetViews>
    <sheetView topLeftCell="A7" zoomScale="107" zoomScaleNormal="107" workbookViewId="0">
      <selection activeCell="I23" sqref="I23"/>
    </sheetView>
  </sheetViews>
  <sheetFormatPr defaultColWidth="9.1640625" defaultRowHeight="15.75"/>
  <cols>
    <col min="1" max="1" width="63.5" style="390" customWidth="1"/>
    <col min="2" max="3" width="23.6640625" style="390" hidden="1" customWidth="1"/>
    <col min="4" max="5" width="19" style="390" hidden="1" customWidth="1"/>
    <col min="6" max="10" width="19" style="390" customWidth="1"/>
    <col min="11" max="16384" width="9.1640625" style="390"/>
  </cols>
  <sheetData>
    <row r="1" spans="1:10">
      <c r="A1" s="1026"/>
      <c r="B1" s="1027"/>
      <c r="C1" s="1027"/>
      <c r="D1" s="1027"/>
      <c r="E1" s="1027"/>
      <c r="F1" s="1027"/>
      <c r="G1" s="1027"/>
      <c r="H1" s="1027"/>
      <c r="I1" s="1028" t="s">
        <v>743</v>
      </c>
      <c r="J1" s="1029"/>
    </row>
    <row r="2" spans="1:10">
      <c r="A2" s="1030"/>
      <c r="B2" s="1070"/>
      <c r="C2" s="1070"/>
      <c r="D2" s="1070"/>
      <c r="E2" s="1070"/>
      <c r="F2" s="1070"/>
      <c r="G2" s="1070"/>
      <c r="H2" s="1070"/>
      <c r="I2" s="1071" t="s">
        <v>408</v>
      </c>
      <c r="J2" s="1031"/>
    </row>
    <row r="3" spans="1:10">
      <c r="A3" s="1030"/>
      <c r="B3" s="1070"/>
      <c r="C3" s="1070"/>
      <c r="D3" s="1070"/>
      <c r="E3" s="1070"/>
      <c r="F3" s="1070"/>
      <c r="G3" s="1070"/>
      <c r="H3" s="1070"/>
      <c r="I3" s="1070"/>
      <c r="J3" s="1031"/>
    </row>
    <row r="4" spans="1:10">
      <c r="A4" s="1892" t="s">
        <v>744</v>
      </c>
      <c r="B4" s="1893"/>
      <c r="C4" s="1893"/>
      <c r="D4" s="1893"/>
      <c r="E4" s="1893"/>
      <c r="F4" s="1893"/>
      <c r="G4" s="1893"/>
      <c r="H4" s="1893"/>
      <c r="I4" s="1893"/>
      <c r="J4" s="1894"/>
    </row>
    <row r="5" spans="1:10">
      <c r="A5" s="1030"/>
      <c r="B5" s="1070"/>
      <c r="C5" s="1070"/>
      <c r="D5" s="1070"/>
      <c r="E5" s="1070"/>
      <c r="F5" s="1070"/>
      <c r="G5" s="1070"/>
      <c r="H5" s="1070"/>
      <c r="I5" s="1070"/>
      <c r="J5" s="1031"/>
    </row>
    <row r="6" spans="1:10">
      <c r="A6" s="1032" t="s">
        <v>869</v>
      </c>
      <c r="B6" s="1895" t="str">
        <f>'Form 5B '!E5</f>
        <v>The Singareni Collieries Company Limited</v>
      </c>
      <c r="C6" s="1895"/>
      <c r="D6" s="1895"/>
      <c r="E6" s="1895"/>
      <c r="F6" s="1895"/>
      <c r="G6" s="1895"/>
      <c r="H6" s="1895"/>
      <c r="I6" s="1895"/>
      <c r="J6" s="1896"/>
    </row>
    <row r="7" spans="1:10">
      <c r="A7" s="1032" t="s">
        <v>870</v>
      </c>
      <c r="B7" s="1895" t="str">
        <f>'Form 5B '!E6</f>
        <v>Singareni Thermal Power Project</v>
      </c>
      <c r="C7" s="1895"/>
      <c r="D7" s="1895"/>
      <c r="E7" s="1895"/>
      <c r="F7" s="1895"/>
      <c r="G7" s="1895"/>
      <c r="H7" s="1895"/>
      <c r="I7" s="1895"/>
      <c r="J7" s="1896"/>
    </row>
    <row r="8" spans="1:10">
      <c r="A8" s="1032"/>
      <c r="B8" s="1070"/>
      <c r="C8" s="1070"/>
      <c r="D8" s="1070"/>
      <c r="E8" s="1070"/>
      <c r="F8" s="1070"/>
      <c r="G8" s="1070"/>
      <c r="H8" s="1070"/>
      <c r="I8" s="1070"/>
      <c r="J8" s="1031"/>
    </row>
    <row r="9" spans="1:10">
      <c r="A9" s="1030"/>
      <c r="B9" s="1070"/>
      <c r="C9" s="1070"/>
      <c r="D9" s="1070"/>
      <c r="E9" s="1070"/>
      <c r="F9" s="1070"/>
      <c r="G9" s="1070"/>
      <c r="H9" s="1891" t="s">
        <v>840</v>
      </c>
      <c r="I9" s="1891"/>
      <c r="J9" s="1031"/>
    </row>
    <row r="10" spans="1:10" ht="51.75" customHeight="1">
      <c r="A10" s="510" t="s">
        <v>745</v>
      </c>
      <c r="B10" s="1033" t="str">
        <f>'Form 13A'!C10</f>
        <v>From COD Unit 1 to COD of Unit 2</v>
      </c>
      <c r="C10" s="1033" t="str">
        <f>'Form 13A'!D10</f>
        <v>From COD Unit 2 to 31.03.2017</v>
      </c>
      <c r="D10" s="1033" t="str">
        <f>'Form 13A'!E10</f>
        <v>FY 2017-18</v>
      </c>
      <c r="E10" s="1034" t="str">
        <f>'Form 13A'!F10</f>
        <v>FY 2018-19</v>
      </c>
      <c r="F10" s="1033" t="s">
        <v>856</v>
      </c>
      <c r="G10" s="1035" t="s">
        <v>857</v>
      </c>
      <c r="H10" s="1033" t="s">
        <v>858</v>
      </c>
      <c r="I10" s="1033" t="s">
        <v>859</v>
      </c>
      <c r="J10" s="1036" t="s">
        <v>860</v>
      </c>
    </row>
    <row r="11" spans="1:10">
      <c r="A11" s="1037">
        <v>1</v>
      </c>
      <c r="B11" s="1038">
        <v>2</v>
      </c>
      <c r="C11" s="1038">
        <v>3</v>
      </c>
      <c r="D11" s="1038">
        <v>4</v>
      </c>
      <c r="E11" s="1039">
        <v>5</v>
      </c>
      <c r="F11" s="1039">
        <v>2</v>
      </c>
      <c r="G11" s="1039">
        <v>3</v>
      </c>
      <c r="H11" s="1038">
        <v>4</v>
      </c>
      <c r="I11" s="1038">
        <v>5</v>
      </c>
      <c r="J11" s="1040">
        <v>6</v>
      </c>
    </row>
    <row r="12" spans="1:10">
      <c r="A12" s="1037" t="s">
        <v>519</v>
      </c>
      <c r="B12" s="1038">
        <v>68</v>
      </c>
      <c r="C12" s="1038">
        <v>120</v>
      </c>
      <c r="D12" s="1038">
        <v>365</v>
      </c>
      <c r="E12" s="1039">
        <v>365</v>
      </c>
      <c r="F12" s="1039">
        <v>366</v>
      </c>
      <c r="G12" s="1039">
        <v>365</v>
      </c>
      <c r="H12" s="1039">
        <v>365</v>
      </c>
      <c r="I12" s="1039">
        <v>365</v>
      </c>
      <c r="J12" s="1040">
        <v>366</v>
      </c>
    </row>
    <row r="13" spans="1:10">
      <c r="A13" s="1041"/>
      <c r="B13" s="1042"/>
      <c r="C13" s="1042"/>
      <c r="D13" s="1042"/>
      <c r="E13" s="1043"/>
      <c r="F13" s="1044"/>
      <c r="G13" s="1045"/>
      <c r="H13" s="1044"/>
      <c r="I13" s="1044"/>
      <c r="J13" s="1046"/>
    </row>
    <row r="14" spans="1:10">
      <c r="A14" s="1041" t="s">
        <v>385</v>
      </c>
      <c r="B14" s="394">
        <f>'Form 13A'!C14</f>
        <v>3501.9</v>
      </c>
      <c r="C14" s="394">
        <f>'Form 13A'!D14</f>
        <v>6705.71</v>
      </c>
      <c r="D14" s="394">
        <f>'Form 13A'!E14</f>
        <v>6755.08</v>
      </c>
      <c r="E14" s="1047">
        <f>'Form 13A'!F14</f>
        <v>7124.72</v>
      </c>
      <c r="F14" s="394">
        <f>'Form 13A'!G14</f>
        <v>7745.3200000000006</v>
      </c>
      <c r="G14" s="394">
        <f>'Form 13A'!H14</f>
        <v>7941.0477538000014</v>
      </c>
      <c r="H14" s="394">
        <f>'Form 13A'!I14</f>
        <v>7973.8939538000013</v>
      </c>
      <c r="I14" s="394">
        <f>'Form 13A'!J14</f>
        <v>7998.0810906000006</v>
      </c>
      <c r="J14" s="1048">
        <f>'Form 13A'!K14</f>
        <v>8064.3010906000009</v>
      </c>
    </row>
    <row r="15" spans="1:10">
      <c r="A15" s="1041" t="s">
        <v>387</v>
      </c>
      <c r="B15" s="394">
        <f>'Form 13A'!C17</f>
        <v>3501.9</v>
      </c>
      <c r="C15" s="394">
        <f>'Form 13A'!D17</f>
        <v>6755.08</v>
      </c>
      <c r="D15" s="394">
        <f>'Form 13A'!E17</f>
        <v>7124.72</v>
      </c>
      <c r="E15" s="1047">
        <f>'Form 13A'!F17</f>
        <v>7745.3200000000006</v>
      </c>
      <c r="F15" s="394">
        <f>'Form 13A'!G17</f>
        <v>7941.0477538000014</v>
      </c>
      <c r="G15" s="394">
        <f>'Form 13A'!H17</f>
        <v>7973.8939538000013</v>
      </c>
      <c r="H15" s="394">
        <f>'Form 13A'!I17</f>
        <v>7998.0810906000006</v>
      </c>
      <c r="I15" s="394">
        <f>'Form 13A'!J17</f>
        <v>8064.3010906000009</v>
      </c>
      <c r="J15" s="1048">
        <f>'Form 13A'!K17</f>
        <v>8064.3010906000009</v>
      </c>
    </row>
    <row r="16" spans="1:10">
      <c r="A16" s="1041" t="s">
        <v>388</v>
      </c>
      <c r="B16" s="394">
        <f t="shared" ref="B16:J16" si="0">AVERAGE(B14,B15)</f>
        <v>3501.9</v>
      </c>
      <c r="C16" s="394">
        <f t="shared" si="0"/>
        <v>6730.3950000000004</v>
      </c>
      <c r="D16" s="394">
        <f t="shared" si="0"/>
        <v>6939.9</v>
      </c>
      <c r="E16" s="1047">
        <f t="shared" si="0"/>
        <v>7435.02</v>
      </c>
      <c r="F16" s="394">
        <f t="shared" si="0"/>
        <v>7843.1838769000005</v>
      </c>
      <c r="G16" s="394">
        <f t="shared" si="0"/>
        <v>7957.4708538000014</v>
      </c>
      <c r="H16" s="394">
        <f t="shared" si="0"/>
        <v>7985.987522200001</v>
      </c>
      <c r="I16" s="394">
        <f t="shared" si="0"/>
        <v>8031.1910906000012</v>
      </c>
      <c r="J16" s="1048">
        <f t="shared" si="0"/>
        <v>8064.3010906000009</v>
      </c>
    </row>
    <row r="17" spans="1:13">
      <c r="A17" s="1041" t="s">
        <v>393</v>
      </c>
      <c r="B17" s="728">
        <f>C17</f>
        <v>5.1853587965412277E-2</v>
      </c>
      <c r="C17" s="728">
        <f>'Form 12'!F38</f>
        <v>5.1853587965412277E-2</v>
      </c>
      <c r="D17" s="728">
        <f>'Form 12'!H38</f>
        <v>5.1725672335407723E-2</v>
      </c>
      <c r="E17" s="1049">
        <f>'Form 12'!J38</f>
        <v>5.1482798499268692E-2</v>
      </c>
      <c r="F17" s="728">
        <f>'Form 12'!L38</f>
        <v>5.1665530461040089E-2</v>
      </c>
      <c r="G17" s="728">
        <f>'Form 12'!N38</f>
        <v>5.1682892455263175E-2</v>
      </c>
      <c r="H17" s="728">
        <f>'Form 12'!P38</f>
        <v>5.1689135912504888E-2</v>
      </c>
      <c r="I17" s="728">
        <f>H17</f>
        <v>5.1689135912504888E-2</v>
      </c>
      <c r="J17" s="1072">
        <f>I17</f>
        <v>5.1689135912504888E-2</v>
      </c>
      <c r="K17" s="550"/>
    </row>
    <row r="18" spans="1:13">
      <c r="A18" s="1041" t="s">
        <v>394</v>
      </c>
      <c r="B18" s="394">
        <f>'Form 5B '!D29</f>
        <v>39.700000000000003</v>
      </c>
      <c r="C18" s="394">
        <f>'Form 5B '!E29</f>
        <v>40.36</v>
      </c>
      <c r="D18" s="394">
        <f>'Form 5B '!G29</f>
        <v>39.706499999999998</v>
      </c>
      <c r="E18" s="1047">
        <v>53.06</v>
      </c>
      <c r="F18" s="394">
        <f>E18</f>
        <v>53.06</v>
      </c>
      <c r="G18" s="394">
        <f t="shared" ref="G18:J18" si="1">F18</f>
        <v>53.06</v>
      </c>
      <c r="H18" s="394">
        <f t="shared" si="1"/>
        <v>53.06</v>
      </c>
      <c r="I18" s="394">
        <f t="shared" si="1"/>
        <v>53.06</v>
      </c>
      <c r="J18" s="1048">
        <f t="shared" si="1"/>
        <v>53.06</v>
      </c>
    </row>
    <row r="19" spans="1:13" ht="31.5">
      <c r="A19" s="1050" t="s">
        <v>395</v>
      </c>
      <c r="B19" s="394">
        <f>(B15-B18)*0.9</f>
        <v>3115.9800000000005</v>
      </c>
      <c r="C19" s="394">
        <f>(C15-C18)*0.9</f>
        <v>6043.2480000000005</v>
      </c>
      <c r="D19" s="394">
        <f>(D15-D18)*0.9</f>
        <v>6376.5121500000005</v>
      </c>
      <c r="E19" s="1047">
        <f>(E15-E18)*0.9</f>
        <v>6923.0340000000006</v>
      </c>
      <c r="F19" s="394">
        <f>(F16-F18)*0.9</f>
        <v>7011.1114892100004</v>
      </c>
      <c r="G19" s="394">
        <f t="shared" ref="G19:J19" si="2">(G16-G18)*0.9</f>
        <v>7113.9697684200009</v>
      </c>
      <c r="H19" s="394">
        <f t="shared" si="2"/>
        <v>7139.6347699800008</v>
      </c>
      <c r="I19" s="394">
        <f t="shared" si="2"/>
        <v>7180.3179815400008</v>
      </c>
      <c r="J19" s="394">
        <f t="shared" si="2"/>
        <v>7210.1169815400008</v>
      </c>
    </row>
    <row r="20" spans="1:13">
      <c r="A20" s="1041" t="s">
        <v>396</v>
      </c>
      <c r="B20" s="394">
        <v>0</v>
      </c>
      <c r="C20" s="394">
        <f>B23</f>
        <v>33.829735395433573</v>
      </c>
      <c r="D20" s="394">
        <f>C23</f>
        <v>148.56786005553363</v>
      </c>
      <c r="E20" s="1047">
        <f>D23</f>
        <v>507.53885349602967</v>
      </c>
      <c r="F20" s="1051">
        <f>E23</f>
        <v>890.31448999406234</v>
      </c>
      <c r="G20" s="1051">
        <f t="shared" ref="G20:J20" si="3">F23</f>
        <v>1295.5367454975778</v>
      </c>
      <c r="H20" s="1051">
        <f t="shared" si="3"/>
        <v>1706.8018558504145</v>
      </c>
      <c r="I20" s="1051">
        <f t="shared" si="3"/>
        <v>2119.5906502809785</v>
      </c>
      <c r="J20" s="1052">
        <f t="shared" si="3"/>
        <v>2534.7159781023001</v>
      </c>
    </row>
    <row r="21" spans="1:13">
      <c r="A21" s="1041" t="s">
        <v>1508</v>
      </c>
      <c r="B21" s="394">
        <f>B19-B20</f>
        <v>3115.9800000000005</v>
      </c>
      <c r="C21" s="394">
        <f>C19-C20</f>
        <v>6009.4182646045665</v>
      </c>
      <c r="D21" s="394">
        <f>D19-D20</f>
        <v>6227.9442899444666</v>
      </c>
      <c r="E21" s="1047">
        <f>E19-E20</f>
        <v>6415.4951465039712</v>
      </c>
      <c r="F21" s="394">
        <f>F19-F20</f>
        <v>6120.7969992159378</v>
      </c>
      <c r="G21" s="394">
        <f t="shared" ref="G21:J21" si="4">G19-G20</f>
        <v>5818.4330229224233</v>
      </c>
      <c r="H21" s="394">
        <f t="shared" si="4"/>
        <v>5432.8329141295862</v>
      </c>
      <c r="I21" s="394">
        <f t="shared" si="4"/>
        <v>5060.7273312590223</v>
      </c>
      <c r="J21" s="1048">
        <f t="shared" si="4"/>
        <v>4675.4010034377006</v>
      </c>
    </row>
    <row r="22" spans="1:13">
      <c r="A22" s="1041" t="s">
        <v>397</v>
      </c>
      <c r="B22" s="394">
        <f>IF(B17*B16*B12/365&lt;B21,B17*B16*B12/365,B21)</f>
        <v>33.829735395433573</v>
      </c>
      <c r="C22" s="394">
        <f>IF(C17*C16*C12/365&lt;C21,C17*C16*C12/365,C21)</f>
        <v>114.73812466010006</v>
      </c>
      <c r="D22" s="394">
        <f>IF(D17*D16*D12/365&lt;D21,D17*D16*D12/365,D21)</f>
        <v>358.97099344049604</v>
      </c>
      <c r="E22" s="1047">
        <f>IF(E17*E16*E12/365&lt;E21,E17*E16*E12/365,E21)</f>
        <v>382.77563649803272</v>
      </c>
      <c r="F22" s="394">
        <f>IF(F17*F16&lt;F21,F17*F16,F21)</f>
        <v>405.2222555035155</v>
      </c>
      <c r="G22" s="394">
        <f t="shared" ref="G22:J22" si="5">IF(G17*G16&lt;G21,G17*G16,G21)</f>
        <v>411.2651103528367</v>
      </c>
      <c r="H22" s="394">
        <f t="shared" si="5"/>
        <v>412.788794430564</v>
      </c>
      <c r="I22" s="394">
        <f t="shared" si="5"/>
        <v>415.12532782132183</v>
      </c>
      <c r="J22" s="1048">
        <f t="shared" si="5"/>
        <v>416.83675511138483</v>
      </c>
    </row>
    <row r="23" spans="1:13">
      <c r="A23" s="1041" t="s">
        <v>398</v>
      </c>
      <c r="B23" s="394">
        <f>B20+B22</f>
        <v>33.829735395433573</v>
      </c>
      <c r="C23" s="394">
        <f>C20+C22</f>
        <v>148.56786005553363</v>
      </c>
      <c r="D23" s="394">
        <f>D20+D22</f>
        <v>507.53885349602967</v>
      </c>
      <c r="E23" s="1047">
        <f>E20+E22</f>
        <v>890.31448999406234</v>
      </c>
      <c r="F23" s="394">
        <f t="shared" ref="F23:J23" si="6">F20+F22</f>
        <v>1295.5367454975778</v>
      </c>
      <c r="G23" s="394">
        <f t="shared" si="6"/>
        <v>1706.8018558504145</v>
      </c>
      <c r="H23" s="394">
        <f t="shared" si="6"/>
        <v>2119.5906502809785</v>
      </c>
      <c r="I23" s="394">
        <f t="shared" si="6"/>
        <v>2534.7159781023001</v>
      </c>
      <c r="J23" s="1048">
        <f t="shared" si="6"/>
        <v>2951.5527332136849</v>
      </c>
      <c r="M23" s="550"/>
    </row>
    <row r="24" spans="1:13" hidden="1">
      <c r="A24" s="1037"/>
      <c r="B24" s="1038"/>
      <c r="C24" s="1038"/>
      <c r="D24" s="1038"/>
      <c r="E24" s="1039"/>
      <c r="F24" s="1044"/>
      <c r="G24" s="1045"/>
      <c r="H24" s="1044"/>
      <c r="I24" s="1044"/>
      <c r="J24" s="1046"/>
    </row>
    <row r="25" spans="1:13" hidden="1">
      <c r="A25" s="1053"/>
      <c r="B25" s="1044"/>
      <c r="C25" s="1044"/>
      <c r="D25" s="1044"/>
      <c r="E25" s="1045"/>
      <c r="F25" s="1054"/>
      <c r="G25" s="1045"/>
      <c r="H25" s="1044"/>
      <c r="I25" s="1044"/>
      <c r="J25" s="1046"/>
    </row>
    <row r="26" spans="1:13" hidden="1">
      <c r="A26" s="1055" t="s">
        <v>746</v>
      </c>
      <c r="B26" s="1070"/>
      <c r="C26" s="1070"/>
      <c r="D26" s="1070"/>
      <c r="E26" s="1044"/>
      <c r="F26" s="1044"/>
      <c r="G26" s="1045"/>
      <c r="H26" s="1044"/>
      <c r="I26" s="1044"/>
      <c r="J26" s="1046"/>
    </row>
    <row r="27" spans="1:13" hidden="1">
      <c r="A27" s="1053"/>
      <c r="B27" s="1044"/>
      <c r="C27" s="1044"/>
      <c r="D27" s="1044"/>
      <c r="E27" s="1045"/>
      <c r="F27" s="1044"/>
      <c r="G27" s="1045"/>
      <c r="H27" s="1044"/>
      <c r="I27" s="1044"/>
      <c r="J27" s="1046"/>
    </row>
    <row r="28" spans="1:13" hidden="1">
      <c r="A28" s="1053"/>
      <c r="B28" s="1044"/>
      <c r="C28" s="1044"/>
      <c r="D28" s="1044"/>
      <c r="E28" s="1045"/>
      <c r="F28" s="1044"/>
      <c r="G28" s="1045"/>
      <c r="H28" s="1044"/>
      <c r="I28" s="1044"/>
      <c r="J28" s="1046"/>
    </row>
    <row r="29" spans="1:13" hidden="1">
      <c r="A29" s="1056" t="s">
        <v>747</v>
      </c>
      <c r="B29" s="1057">
        <f>B22</f>
        <v>33.829735395433573</v>
      </c>
      <c r="C29" s="1057">
        <f>C22</f>
        <v>114.73812466010006</v>
      </c>
      <c r="D29" s="1057">
        <f>D22</f>
        <v>358.97099344049604</v>
      </c>
      <c r="E29" s="1058">
        <f>E22</f>
        <v>382.77563649803272</v>
      </c>
      <c r="F29" s="1058">
        <f t="shared" ref="F29:J29" si="7">F22</f>
        <v>405.2222555035155</v>
      </c>
      <c r="G29" s="1058">
        <f t="shared" si="7"/>
        <v>411.2651103528367</v>
      </c>
      <c r="H29" s="1058">
        <f t="shared" si="7"/>
        <v>412.788794430564</v>
      </c>
      <c r="I29" s="1058">
        <f t="shared" si="7"/>
        <v>415.12532782132183</v>
      </c>
      <c r="J29" s="1059">
        <f t="shared" si="7"/>
        <v>416.83675511138483</v>
      </c>
    </row>
    <row r="30" spans="1:13" ht="35.25" hidden="1" customHeight="1">
      <c r="A30" s="1060" t="s">
        <v>759</v>
      </c>
      <c r="B30" s="1061">
        <f>MAX(B22,'Form 13'!F73)-'Form-11'!B22</f>
        <v>0</v>
      </c>
      <c r="C30" s="1061">
        <f>MAX(C22,'Form 13'!G73)-'Form-11'!C22</f>
        <v>0</v>
      </c>
      <c r="D30" s="1061">
        <v>0</v>
      </c>
      <c r="E30" s="1061">
        <v>0</v>
      </c>
      <c r="F30" s="1061">
        <v>0</v>
      </c>
      <c r="G30" s="1061">
        <v>0</v>
      </c>
      <c r="H30" s="1061">
        <v>0</v>
      </c>
      <c r="I30" s="1061">
        <v>0</v>
      </c>
      <c r="J30" s="1062">
        <v>0</v>
      </c>
    </row>
    <row r="31" spans="1:13" ht="32.25" hidden="1" thickBot="1">
      <c r="A31" s="1063" t="s">
        <v>760</v>
      </c>
      <c r="B31" s="1064">
        <f>B29+B30</f>
        <v>33.829735395433573</v>
      </c>
      <c r="C31" s="1064">
        <f>C29+C30</f>
        <v>114.73812466010006</v>
      </c>
      <c r="D31" s="1064">
        <f>D29+D30</f>
        <v>358.97099344049604</v>
      </c>
      <c r="E31" s="1064">
        <f>E29+E30</f>
        <v>382.77563649803272</v>
      </c>
      <c r="F31" s="1064">
        <f t="shared" ref="F31:J31" si="8">F29+F30</f>
        <v>405.2222555035155</v>
      </c>
      <c r="G31" s="1064">
        <f t="shared" si="8"/>
        <v>411.2651103528367</v>
      </c>
      <c r="H31" s="1064">
        <f t="shared" si="8"/>
        <v>412.788794430564</v>
      </c>
      <c r="I31" s="1064">
        <f t="shared" si="8"/>
        <v>415.12532782132183</v>
      </c>
      <c r="J31" s="1065">
        <f t="shared" si="8"/>
        <v>416.83675511138483</v>
      </c>
    </row>
    <row r="32" spans="1:13" hidden="1">
      <c r="A32" s="1030"/>
      <c r="B32" s="1070"/>
      <c r="C32" s="1070"/>
      <c r="D32" s="1070"/>
      <c r="E32" s="1070"/>
      <c r="F32" s="1070"/>
      <c r="G32" s="1070"/>
      <c r="H32" s="1070"/>
      <c r="I32" s="1070"/>
      <c r="J32" s="1031"/>
    </row>
    <row r="33" spans="1:10" ht="18" hidden="1" customHeight="1">
      <c r="A33" s="1066"/>
      <c r="B33" s="1073"/>
      <c r="C33" s="1073"/>
      <c r="D33" s="1073"/>
      <c r="E33" s="1073"/>
      <c r="F33" s="1070"/>
      <c r="G33" s="1070"/>
      <c r="H33" s="1070"/>
      <c r="I33" s="1070"/>
      <c r="J33" s="1031"/>
    </row>
    <row r="34" spans="1:10" ht="25.15" hidden="1" customHeight="1">
      <c r="A34" s="1066" t="s">
        <v>845</v>
      </c>
      <c r="B34" s="1073"/>
      <c r="C34" s="1073"/>
      <c r="D34" s="1073"/>
      <c r="E34" s="1073"/>
      <c r="F34" s="1070"/>
      <c r="G34" s="1070"/>
      <c r="H34" s="1070"/>
      <c r="I34" s="1070"/>
      <c r="J34" s="1031"/>
    </row>
    <row r="35" spans="1:10">
      <c r="A35" s="1030"/>
      <c r="B35" s="1070"/>
      <c r="C35" s="1070"/>
      <c r="D35" s="1070"/>
      <c r="E35" s="1070"/>
      <c r="F35" s="1070"/>
      <c r="G35" s="1070"/>
      <c r="H35" s="1070"/>
      <c r="I35" s="1070"/>
      <c r="J35" s="1031"/>
    </row>
    <row r="36" spans="1:10">
      <c r="A36" s="1030"/>
      <c r="B36" s="1070"/>
      <c r="C36" s="1070"/>
      <c r="D36" s="1070"/>
      <c r="E36" s="1070"/>
      <c r="F36" s="1070"/>
      <c r="G36" s="1070"/>
      <c r="H36" s="1070"/>
      <c r="I36" s="1070"/>
      <c r="J36" s="1031"/>
    </row>
    <row r="37" spans="1:10">
      <c r="A37" s="1030"/>
      <c r="B37" s="1070"/>
      <c r="C37" s="1070"/>
      <c r="D37" s="1070"/>
      <c r="E37" s="1070"/>
      <c r="F37" s="1070"/>
      <c r="G37" s="1070"/>
      <c r="H37" s="1070"/>
      <c r="I37" s="1071" t="s">
        <v>700</v>
      </c>
      <c r="J37" s="1031"/>
    </row>
    <row r="38" spans="1:10" ht="16.5" thickBot="1">
      <c r="A38" s="1067"/>
      <c r="B38" s="1068"/>
      <c r="C38" s="1068"/>
      <c r="D38" s="1068"/>
      <c r="E38" s="1068"/>
      <c r="F38" s="1068"/>
      <c r="G38" s="1068"/>
      <c r="H38" s="1068"/>
      <c r="I38" s="1068"/>
      <c r="J38" s="1069"/>
    </row>
  </sheetData>
  <mergeCells count="4">
    <mergeCell ref="H9:I9"/>
    <mergeCell ref="A4:J4"/>
    <mergeCell ref="B6:J6"/>
    <mergeCell ref="B7:J7"/>
  </mergeCells>
  <pageMargins left="0.7" right="0.7" top="0.75" bottom="0.75" header="0.3" footer="0.3"/>
  <pageSetup scale="86" orientation="landscape" r:id="rId1"/>
</worksheet>
</file>

<file path=xl/worksheets/sheet17.xml><?xml version="1.0" encoding="utf-8"?>
<worksheet xmlns="http://schemas.openxmlformats.org/spreadsheetml/2006/main" xmlns:r="http://schemas.openxmlformats.org/officeDocument/2006/relationships">
  <sheetPr>
    <tabColor theme="9" tint="-0.249977111117893"/>
  </sheetPr>
  <dimension ref="A1:H86"/>
  <sheetViews>
    <sheetView zoomScale="172" zoomScaleNormal="172" workbookViewId="0">
      <selection activeCell="F23" sqref="F23"/>
    </sheetView>
  </sheetViews>
  <sheetFormatPr defaultRowHeight="12.75"/>
  <cols>
    <col min="1" max="1" width="5.33203125" customWidth="1"/>
    <col min="2" max="2" width="8.83203125" customWidth="1"/>
    <col min="3" max="3" width="18.1640625" customWidth="1"/>
    <col min="4" max="4" width="7.33203125" customWidth="1"/>
    <col min="5" max="5" width="7.83203125" customWidth="1"/>
    <col min="6" max="6" width="7.1640625" customWidth="1"/>
    <col min="7" max="7" width="7.33203125" customWidth="1"/>
    <col min="8" max="8" width="8.5" customWidth="1"/>
  </cols>
  <sheetData>
    <row r="1" spans="1:8" ht="57.75" customHeight="1">
      <c r="A1" s="1897" t="s">
        <v>3</v>
      </c>
      <c r="B1" s="1898"/>
      <c r="C1" s="1898"/>
      <c r="D1" s="1898"/>
      <c r="E1" s="1898"/>
      <c r="F1" s="1898"/>
      <c r="G1" s="1898"/>
      <c r="H1" s="1899"/>
    </row>
    <row r="2" spans="1:8" ht="8.25" customHeight="1">
      <c r="A2" s="1900" t="s">
        <v>4</v>
      </c>
      <c r="B2" s="1902" t="s">
        <v>5</v>
      </c>
      <c r="C2" s="1903"/>
      <c r="D2" s="1906" t="s">
        <v>6</v>
      </c>
      <c r="E2" s="1907"/>
      <c r="F2" s="1900" t="s">
        <v>7</v>
      </c>
      <c r="G2" s="1900" t="s">
        <v>8</v>
      </c>
      <c r="H2" s="1908" t="s">
        <v>9</v>
      </c>
    </row>
    <row r="3" spans="1:8" ht="25.5" customHeight="1">
      <c r="A3" s="1901"/>
      <c r="B3" s="1904"/>
      <c r="C3" s="1905"/>
      <c r="D3" s="9" t="s">
        <v>10</v>
      </c>
      <c r="E3" s="10" t="s">
        <v>11</v>
      </c>
      <c r="F3" s="1901"/>
      <c r="G3" s="1901"/>
      <c r="H3" s="1909"/>
    </row>
    <row r="4" spans="1:8" ht="9.75" customHeight="1">
      <c r="A4" s="12">
        <v>-1</v>
      </c>
      <c r="B4" s="1910">
        <v>-2</v>
      </c>
      <c r="C4" s="1911"/>
      <c r="D4" s="12">
        <v>-3</v>
      </c>
      <c r="E4" s="12">
        <v>-4</v>
      </c>
      <c r="F4" s="12">
        <v>-5</v>
      </c>
      <c r="G4" s="12">
        <v>-6</v>
      </c>
      <c r="H4" s="12">
        <v>-7</v>
      </c>
    </row>
    <row r="5" spans="1:8" ht="8.25" customHeight="1">
      <c r="A5" s="13">
        <v>1</v>
      </c>
      <c r="B5" s="1912" t="s">
        <v>12</v>
      </c>
      <c r="C5" s="1913"/>
      <c r="D5" s="2"/>
      <c r="E5" s="2"/>
      <c r="F5" s="2"/>
      <c r="G5" s="2"/>
      <c r="H5" s="2"/>
    </row>
    <row r="6" spans="1:8" ht="8.25" customHeight="1">
      <c r="A6" s="14">
        <v>1.1000000000000001</v>
      </c>
      <c r="B6" s="1914" t="s">
        <v>13</v>
      </c>
      <c r="C6" s="1915"/>
      <c r="D6" s="2"/>
      <c r="E6" s="2"/>
      <c r="F6" s="2"/>
      <c r="G6" s="2"/>
      <c r="H6" s="2"/>
    </row>
    <row r="7" spans="1:8" ht="8.25" customHeight="1">
      <c r="A7" s="14">
        <v>1.2</v>
      </c>
      <c r="B7" s="1914" t="s">
        <v>14</v>
      </c>
      <c r="C7" s="1915"/>
      <c r="D7" s="2"/>
      <c r="E7" s="2"/>
      <c r="F7" s="2"/>
      <c r="G7" s="2"/>
      <c r="H7" s="2"/>
    </row>
    <row r="8" spans="1:8" ht="8.25" customHeight="1">
      <c r="A8" s="14">
        <v>1.3</v>
      </c>
      <c r="B8" s="1914" t="s">
        <v>15</v>
      </c>
      <c r="C8" s="1915"/>
      <c r="D8" s="2"/>
      <c r="E8" s="2"/>
      <c r="F8" s="2"/>
      <c r="G8" s="2"/>
      <c r="H8" s="2"/>
    </row>
    <row r="9" spans="1:8" ht="8.25" customHeight="1">
      <c r="A9" s="2"/>
      <c r="B9" s="1912" t="s">
        <v>16</v>
      </c>
      <c r="C9" s="1913"/>
      <c r="D9" s="2"/>
      <c r="E9" s="2"/>
      <c r="F9" s="2"/>
      <c r="G9" s="2"/>
      <c r="H9" s="2"/>
    </row>
    <row r="10" spans="1:8" ht="8.25" customHeight="1">
      <c r="A10" s="13">
        <v>2</v>
      </c>
      <c r="B10" s="1912" t="s">
        <v>17</v>
      </c>
      <c r="C10" s="1913"/>
      <c r="D10" s="2"/>
      <c r="E10" s="2"/>
      <c r="F10" s="2"/>
      <c r="G10" s="2"/>
      <c r="H10" s="2"/>
    </row>
    <row r="11" spans="1:8" ht="6.95" customHeight="1">
      <c r="A11" s="2"/>
      <c r="B11" s="1916"/>
      <c r="C11" s="1917"/>
      <c r="D11" s="2"/>
      <c r="E11" s="2"/>
      <c r="F11" s="2"/>
      <c r="G11" s="2"/>
      <c r="H11" s="2"/>
    </row>
    <row r="12" spans="1:8" ht="8.25" customHeight="1">
      <c r="A12" s="13">
        <v>2.1</v>
      </c>
      <c r="B12" s="1912" t="s">
        <v>18</v>
      </c>
      <c r="C12" s="1913"/>
      <c r="D12" s="2"/>
      <c r="E12" s="2"/>
      <c r="F12" s="2"/>
      <c r="G12" s="2"/>
      <c r="H12" s="2"/>
    </row>
    <row r="13" spans="1:8" ht="8.25" customHeight="1">
      <c r="A13" s="13">
        <v>2.2000000000000002</v>
      </c>
      <c r="B13" s="1912" t="s">
        <v>19</v>
      </c>
      <c r="C13" s="1913"/>
      <c r="D13" s="2"/>
      <c r="E13" s="2"/>
      <c r="F13" s="2"/>
      <c r="G13" s="2"/>
      <c r="H13" s="2"/>
    </row>
    <row r="14" spans="1:8" ht="8.25" customHeight="1">
      <c r="A14" s="13">
        <v>2.2999999999999998</v>
      </c>
      <c r="B14" s="1912" t="s">
        <v>20</v>
      </c>
      <c r="C14" s="1913"/>
      <c r="D14" s="2"/>
      <c r="E14" s="2"/>
      <c r="F14" s="2"/>
      <c r="G14" s="2"/>
      <c r="H14" s="2"/>
    </row>
    <row r="15" spans="1:8" ht="8.25" customHeight="1">
      <c r="A15" s="15" t="s">
        <v>21</v>
      </c>
      <c r="B15" s="1914" t="s">
        <v>22</v>
      </c>
      <c r="C15" s="1915"/>
      <c r="D15" s="2"/>
      <c r="E15" s="2"/>
      <c r="F15" s="2"/>
      <c r="G15" s="2"/>
      <c r="H15" s="2"/>
    </row>
    <row r="16" spans="1:8" ht="8.25" customHeight="1">
      <c r="A16" s="15" t="s">
        <v>23</v>
      </c>
      <c r="B16" s="1914" t="s">
        <v>24</v>
      </c>
      <c r="C16" s="1915"/>
      <c r="D16" s="2"/>
      <c r="E16" s="2"/>
      <c r="F16" s="2"/>
      <c r="G16" s="2"/>
      <c r="H16" s="2"/>
    </row>
    <row r="17" spans="1:8" ht="8.25" customHeight="1">
      <c r="A17" s="15" t="s">
        <v>25</v>
      </c>
      <c r="B17" s="1914" t="s">
        <v>26</v>
      </c>
      <c r="C17" s="1915"/>
      <c r="D17" s="2"/>
      <c r="E17" s="2"/>
      <c r="F17" s="2"/>
      <c r="G17" s="2"/>
      <c r="H17" s="2"/>
    </row>
    <row r="18" spans="1:8" ht="8.25" customHeight="1">
      <c r="A18" s="15" t="s">
        <v>27</v>
      </c>
      <c r="B18" s="1914" t="s">
        <v>28</v>
      </c>
      <c r="C18" s="1915"/>
      <c r="D18" s="2"/>
      <c r="E18" s="2"/>
      <c r="F18" s="2"/>
      <c r="G18" s="2"/>
      <c r="H18" s="2"/>
    </row>
    <row r="19" spans="1:8" ht="8.25" customHeight="1">
      <c r="A19" s="15" t="s">
        <v>29</v>
      </c>
      <c r="B19" s="1914" t="s">
        <v>30</v>
      </c>
      <c r="C19" s="1915"/>
      <c r="D19" s="2"/>
      <c r="E19" s="2"/>
      <c r="F19" s="2"/>
      <c r="G19" s="2"/>
      <c r="H19" s="2"/>
    </row>
    <row r="20" spans="1:8" ht="8.25" customHeight="1">
      <c r="A20" s="15" t="s">
        <v>31</v>
      </c>
      <c r="B20" s="1914" t="s">
        <v>32</v>
      </c>
      <c r="C20" s="1915"/>
      <c r="D20" s="2"/>
      <c r="E20" s="2"/>
      <c r="F20" s="2"/>
      <c r="G20" s="2"/>
      <c r="H20" s="2"/>
    </row>
    <row r="21" spans="1:8" ht="8.25" customHeight="1">
      <c r="A21" s="15" t="s">
        <v>33</v>
      </c>
      <c r="B21" s="1914" t="s">
        <v>34</v>
      </c>
      <c r="C21" s="1915"/>
      <c r="D21" s="2"/>
      <c r="E21" s="2"/>
      <c r="F21" s="2"/>
      <c r="G21" s="2"/>
      <c r="H21" s="2"/>
    </row>
    <row r="22" spans="1:8" ht="8.25" customHeight="1">
      <c r="A22" s="15" t="s">
        <v>35</v>
      </c>
      <c r="B22" s="1914" t="s">
        <v>36</v>
      </c>
      <c r="C22" s="1915"/>
      <c r="D22" s="2"/>
      <c r="E22" s="2"/>
      <c r="F22" s="2"/>
      <c r="G22" s="2"/>
      <c r="H22" s="2"/>
    </row>
    <row r="23" spans="1:8" ht="8.25" customHeight="1">
      <c r="A23" s="15" t="s">
        <v>37</v>
      </c>
      <c r="B23" s="1914" t="s">
        <v>38</v>
      </c>
      <c r="C23" s="1915"/>
      <c r="D23" s="2"/>
      <c r="E23" s="2"/>
      <c r="F23" s="2"/>
      <c r="G23" s="2"/>
      <c r="H23" s="2"/>
    </row>
    <row r="24" spans="1:8" ht="8.25" customHeight="1">
      <c r="A24" s="16">
        <v>40212</v>
      </c>
      <c r="B24" s="1914" t="s">
        <v>39</v>
      </c>
      <c r="C24" s="1915"/>
      <c r="D24" s="2"/>
      <c r="E24" s="2"/>
      <c r="F24" s="2"/>
      <c r="G24" s="2"/>
      <c r="H24" s="2"/>
    </row>
    <row r="25" spans="1:8" ht="8.25" customHeight="1">
      <c r="A25" s="16">
        <v>40577</v>
      </c>
      <c r="B25" s="1914" t="s">
        <v>40</v>
      </c>
      <c r="C25" s="1915"/>
      <c r="D25" s="2"/>
      <c r="E25" s="2"/>
      <c r="F25" s="2"/>
      <c r="G25" s="2"/>
      <c r="H25" s="2"/>
    </row>
    <row r="26" spans="1:8" ht="8.25" customHeight="1">
      <c r="A26" s="16">
        <v>40942</v>
      </c>
      <c r="B26" s="1914" t="s">
        <v>41</v>
      </c>
      <c r="C26" s="1915"/>
      <c r="D26" s="2"/>
      <c r="E26" s="2"/>
      <c r="F26" s="2"/>
      <c r="G26" s="2"/>
      <c r="H26" s="2"/>
    </row>
    <row r="27" spans="1:8" ht="8.25" customHeight="1">
      <c r="A27" s="16">
        <v>41308</v>
      </c>
      <c r="B27" s="1914" t="s">
        <v>42</v>
      </c>
      <c r="C27" s="1915"/>
      <c r="D27" s="2"/>
      <c r="E27" s="2"/>
      <c r="F27" s="2"/>
      <c r="G27" s="2"/>
      <c r="H27" s="2"/>
    </row>
    <row r="28" spans="1:8" ht="8.25" customHeight="1">
      <c r="A28" s="16">
        <v>41673</v>
      </c>
      <c r="B28" s="1914" t="s">
        <v>43</v>
      </c>
      <c r="C28" s="1915"/>
      <c r="D28" s="2"/>
      <c r="E28" s="2"/>
      <c r="F28" s="2"/>
      <c r="G28" s="2"/>
      <c r="H28" s="2"/>
    </row>
    <row r="29" spans="1:8" ht="8.25" customHeight="1">
      <c r="A29" s="2"/>
      <c r="B29" s="1912" t="s">
        <v>44</v>
      </c>
      <c r="C29" s="1913"/>
      <c r="D29" s="2"/>
      <c r="E29" s="2"/>
      <c r="F29" s="2"/>
      <c r="G29" s="2"/>
      <c r="H29" s="2"/>
    </row>
    <row r="30" spans="1:8" ht="8.25" customHeight="1">
      <c r="A30" s="13">
        <v>2.4</v>
      </c>
      <c r="B30" s="1912" t="s">
        <v>45</v>
      </c>
      <c r="C30" s="1913"/>
      <c r="D30" s="2"/>
      <c r="E30" s="2"/>
      <c r="F30" s="2"/>
      <c r="G30" s="2"/>
      <c r="H30" s="2"/>
    </row>
    <row r="31" spans="1:8" ht="8.25" customHeight="1">
      <c r="A31" s="15" t="s">
        <v>46</v>
      </c>
      <c r="B31" s="1914" t="s">
        <v>47</v>
      </c>
      <c r="C31" s="1915"/>
      <c r="D31" s="2"/>
      <c r="E31" s="2"/>
      <c r="F31" s="2"/>
      <c r="G31" s="2"/>
      <c r="H31" s="2"/>
    </row>
    <row r="32" spans="1:8" ht="8.25" customHeight="1">
      <c r="A32" s="15" t="s">
        <v>48</v>
      </c>
      <c r="B32" s="1914" t="s">
        <v>49</v>
      </c>
      <c r="C32" s="1915"/>
      <c r="D32" s="2"/>
      <c r="E32" s="2"/>
      <c r="F32" s="2"/>
      <c r="G32" s="2"/>
      <c r="H32" s="2"/>
    </row>
    <row r="33" spans="1:8" ht="8.25" customHeight="1">
      <c r="A33" s="15" t="s">
        <v>50</v>
      </c>
      <c r="B33" s="1914" t="s">
        <v>51</v>
      </c>
      <c r="C33" s="1915"/>
      <c r="D33" s="2"/>
      <c r="E33" s="2"/>
      <c r="F33" s="2"/>
      <c r="G33" s="2"/>
      <c r="H33" s="2"/>
    </row>
    <row r="34" spans="1:8" ht="8.25" customHeight="1">
      <c r="A34" s="15" t="s">
        <v>52</v>
      </c>
      <c r="B34" s="1914" t="s">
        <v>53</v>
      </c>
      <c r="C34" s="1915"/>
      <c r="D34" s="2"/>
      <c r="E34" s="2"/>
      <c r="F34" s="2"/>
      <c r="G34" s="2"/>
      <c r="H34" s="2"/>
    </row>
    <row r="35" spans="1:8" ht="8.25" customHeight="1">
      <c r="A35" s="15" t="s">
        <v>54</v>
      </c>
      <c r="B35" s="1914" t="s">
        <v>55</v>
      </c>
      <c r="C35" s="1915"/>
      <c r="D35" s="2"/>
      <c r="E35" s="2"/>
      <c r="F35" s="2"/>
      <c r="G35" s="2"/>
      <c r="H35" s="2"/>
    </row>
    <row r="36" spans="1:8" ht="8.25" customHeight="1">
      <c r="A36" s="15" t="s">
        <v>56</v>
      </c>
      <c r="B36" s="1914" t="s">
        <v>57</v>
      </c>
      <c r="C36" s="1915"/>
      <c r="D36" s="2"/>
      <c r="E36" s="2"/>
      <c r="F36" s="2"/>
      <c r="G36" s="2"/>
      <c r="H36" s="2"/>
    </row>
    <row r="37" spans="1:8" ht="8.25" customHeight="1">
      <c r="A37" s="2"/>
      <c r="B37" s="1912" t="s">
        <v>58</v>
      </c>
      <c r="C37" s="1913"/>
      <c r="D37" s="2"/>
      <c r="E37" s="2"/>
      <c r="F37" s="2"/>
      <c r="G37" s="2"/>
      <c r="H37" s="2"/>
    </row>
    <row r="38" spans="1:8" ht="6.95" customHeight="1">
      <c r="A38" s="2"/>
      <c r="B38" s="1916"/>
      <c r="C38" s="1917"/>
      <c r="D38" s="2"/>
      <c r="E38" s="2"/>
      <c r="F38" s="2"/>
      <c r="G38" s="2"/>
      <c r="H38" s="2"/>
    </row>
    <row r="39" spans="1:8" ht="8.25" customHeight="1">
      <c r="A39" s="13">
        <v>2.5</v>
      </c>
      <c r="B39" s="1912" t="s">
        <v>59</v>
      </c>
      <c r="C39" s="1913"/>
      <c r="D39" s="2"/>
      <c r="E39" s="2"/>
      <c r="F39" s="2"/>
      <c r="G39" s="2"/>
      <c r="H39" s="2"/>
    </row>
    <row r="40" spans="1:8" ht="13.7" customHeight="1">
      <c r="A40" s="4"/>
      <c r="B40" s="1912" t="s">
        <v>60</v>
      </c>
      <c r="C40" s="1913"/>
      <c r="D40" s="4"/>
      <c r="E40" s="4"/>
      <c r="F40" s="4"/>
      <c r="G40" s="4"/>
      <c r="H40" s="4"/>
    </row>
    <row r="41" spans="1:8" ht="8.25" customHeight="1">
      <c r="A41" s="17">
        <v>2.6</v>
      </c>
      <c r="B41" s="1912" t="s">
        <v>61</v>
      </c>
      <c r="C41" s="1913"/>
      <c r="D41" s="2"/>
      <c r="E41" s="2"/>
      <c r="F41" s="2"/>
      <c r="G41" s="2"/>
      <c r="H41" s="2"/>
    </row>
    <row r="42" spans="1:8" ht="8.25" customHeight="1">
      <c r="A42" s="15" t="s">
        <v>62</v>
      </c>
      <c r="B42" s="1914" t="s">
        <v>63</v>
      </c>
      <c r="C42" s="1915"/>
      <c r="D42" s="2"/>
      <c r="E42" s="2"/>
      <c r="F42" s="2"/>
      <c r="G42" s="2"/>
      <c r="H42" s="2"/>
    </row>
    <row r="43" spans="1:8" ht="8.25" customHeight="1">
      <c r="A43" s="15" t="s">
        <v>64</v>
      </c>
      <c r="B43" s="1914" t="s">
        <v>65</v>
      </c>
      <c r="C43" s="1915"/>
      <c r="D43" s="2"/>
      <c r="E43" s="2"/>
      <c r="F43" s="2"/>
      <c r="G43" s="2"/>
      <c r="H43" s="2"/>
    </row>
    <row r="44" spans="1:8" ht="8.25" customHeight="1">
      <c r="A44" s="2"/>
      <c r="B44" s="1912" t="s">
        <v>66</v>
      </c>
      <c r="C44" s="1913"/>
      <c r="D44" s="2"/>
      <c r="E44" s="2"/>
      <c r="F44" s="2"/>
      <c r="G44" s="2"/>
      <c r="H44" s="2"/>
    </row>
    <row r="45" spans="1:8" ht="8.25" customHeight="1">
      <c r="A45" s="2"/>
      <c r="B45" s="1912" t="s">
        <v>67</v>
      </c>
      <c r="C45" s="1913"/>
      <c r="D45" s="2"/>
      <c r="E45" s="2"/>
      <c r="F45" s="2"/>
      <c r="G45" s="2"/>
      <c r="H45" s="2"/>
    </row>
    <row r="46" spans="1:8" ht="8.25" customHeight="1">
      <c r="A46" s="13">
        <v>3</v>
      </c>
      <c r="B46" s="1912" t="s">
        <v>68</v>
      </c>
      <c r="C46" s="1913"/>
      <c r="D46" s="2"/>
      <c r="E46" s="2"/>
      <c r="F46" s="2"/>
      <c r="G46" s="2"/>
      <c r="H46" s="2"/>
    </row>
    <row r="47" spans="1:8" ht="8.25" customHeight="1">
      <c r="A47" s="13">
        <v>4</v>
      </c>
      <c r="B47" s="1912" t="s">
        <v>69</v>
      </c>
      <c r="C47" s="1913"/>
      <c r="D47" s="2"/>
      <c r="E47" s="2"/>
      <c r="F47" s="2"/>
      <c r="G47" s="2"/>
      <c r="H47" s="2"/>
    </row>
    <row r="48" spans="1:8" ht="8.25" customHeight="1">
      <c r="A48" s="14">
        <v>4.0999999999999996</v>
      </c>
      <c r="B48" s="1914" t="s">
        <v>70</v>
      </c>
      <c r="C48" s="1915"/>
      <c r="D48" s="2"/>
      <c r="E48" s="2"/>
      <c r="F48" s="2"/>
      <c r="G48" s="2"/>
      <c r="H48" s="2"/>
    </row>
    <row r="49" spans="1:8" ht="8.25" customHeight="1">
      <c r="A49" s="14">
        <v>4.2</v>
      </c>
      <c r="B49" s="1914" t="s">
        <v>24</v>
      </c>
      <c r="C49" s="1915"/>
      <c r="D49" s="2"/>
      <c r="E49" s="2"/>
      <c r="F49" s="2"/>
      <c r="G49" s="2"/>
      <c r="H49" s="2"/>
    </row>
    <row r="50" spans="1:8" ht="8.25" customHeight="1">
      <c r="A50" s="14">
        <v>4.3</v>
      </c>
      <c r="B50" s="1914" t="s">
        <v>71</v>
      </c>
      <c r="C50" s="1915"/>
      <c r="D50" s="2"/>
      <c r="E50" s="2"/>
      <c r="F50" s="2"/>
      <c r="G50" s="2"/>
      <c r="H50" s="2"/>
    </row>
    <row r="51" spans="1:8" ht="8.25" customHeight="1">
      <c r="A51" s="14">
        <v>4.4000000000000004</v>
      </c>
      <c r="B51" s="1914" t="s">
        <v>26</v>
      </c>
      <c r="C51" s="1915"/>
      <c r="D51" s="2"/>
      <c r="E51" s="2"/>
      <c r="F51" s="2"/>
      <c r="G51" s="2"/>
      <c r="H51" s="2"/>
    </row>
    <row r="52" spans="1:8" ht="8.25" customHeight="1">
      <c r="A52" s="14">
        <v>4.5</v>
      </c>
      <c r="B52" s="1914" t="s">
        <v>28</v>
      </c>
      <c r="C52" s="1915"/>
      <c r="D52" s="2"/>
      <c r="E52" s="2"/>
      <c r="F52" s="2"/>
      <c r="G52" s="2"/>
      <c r="H52" s="2"/>
    </row>
    <row r="53" spans="1:8" ht="8.25" customHeight="1">
      <c r="A53" s="14">
        <v>4.5999999999999996</v>
      </c>
      <c r="B53" s="1914" t="s">
        <v>72</v>
      </c>
      <c r="C53" s="1915"/>
      <c r="D53" s="2"/>
      <c r="E53" s="2"/>
      <c r="F53" s="2"/>
      <c r="G53" s="2"/>
      <c r="H53" s="2"/>
    </row>
    <row r="54" spans="1:8" ht="8.25" customHeight="1">
      <c r="A54" s="14">
        <v>4.7</v>
      </c>
      <c r="B54" s="1914" t="s">
        <v>32</v>
      </c>
      <c r="C54" s="1915"/>
      <c r="D54" s="2"/>
      <c r="E54" s="2"/>
      <c r="F54" s="2"/>
      <c r="G54" s="2"/>
      <c r="H54" s="2"/>
    </row>
    <row r="55" spans="1:8" ht="8.25" customHeight="1">
      <c r="A55" s="14">
        <v>4.8</v>
      </c>
      <c r="B55" s="1914" t="s">
        <v>36</v>
      </c>
      <c r="C55" s="1915"/>
      <c r="D55" s="2"/>
      <c r="E55" s="2"/>
      <c r="F55" s="2"/>
      <c r="G55" s="2"/>
      <c r="H55" s="2"/>
    </row>
    <row r="56" spans="1:8" ht="8.25" customHeight="1">
      <c r="A56" s="14">
        <v>4.9000000000000004</v>
      </c>
      <c r="B56" s="1914" t="s">
        <v>73</v>
      </c>
      <c r="C56" s="1915"/>
      <c r="D56" s="2"/>
      <c r="E56" s="2"/>
      <c r="F56" s="2"/>
      <c r="G56" s="2"/>
      <c r="H56" s="2"/>
    </row>
    <row r="57" spans="1:8" ht="8.25" customHeight="1">
      <c r="A57" s="18">
        <v>4.0999999999999996</v>
      </c>
      <c r="B57" s="1914" t="s">
        <v>34</v>
      </c>
      <c r="C57" s="1915"/>
      <c r="D57" s="2"/>
      <c r="E57" s="2"/>
      <c r="F57" s="2"/>
      <c r="G57" s="2"/>
      <c r="H57" s="2"/>
    </row>
    <row r="58" spans="1:8" ht="8.25" customHeight="1">
      <c r="A58" s="18">
        <v>4.1100000000000003</v>
      </c>
      <c r="B58" s="1914" t="s">
        <v>74</v>
      </c>
      <c r="C58" s="1915"/>
      <c r="D58" s="2"/>
      <c r="E58" s="2"/>
      <c r="F58" s="2"/>
      <c r="G58" s="2"/>
      <c r="H58" s="2"/>
    </row>
    <row r="59" spans="1:8" ht="8.25" customHeight="1">
      <c r="A59" s="18">
        <v>4.12</v>
      </c>
      <c r="B59" s="1914" t="s">
        <v>42</v>
      </c>
      <c r="C59" s="1915"/>
      <c r="D59" s="2"/>
      <c r="E59" s="2"/>
      <c r="F59" s="2"/>
      <c r="G59" s="2"/>
      <c r="H59" s="2"/>
    </row>
    <row r="60" spans="1:8" ht="8.25" customHeight="1">
      <c r="A60" s="18">
        <v>4.13</v>
      </c>
      <c r="B60" s="1914" t="s">
        <v>75</v>
      </c>
      <c r="C60" s="1915"/>
      <c r="D60" s="2"/>
      <c r="E60" s="2"/>
      <c r="F60" s="2"/>
      <c r="G60" s="2"/>
      <c r="H60" s="2"/>
    </row>
    <row r="61" spans="1:8" ht="8.25" customHeight="1">
      <c r="A61" s="18">
        <v>4.1399999999999997</v>
      </c>
      <c r="B61" s="1914" t="s">
        <v>76</v>
      </c>
      <c r="C61" s="1915"/>
      <c r="D61" s="2"/>
      <c r="E61" s="2"/>
      <c r="F61" s="2"/>
      <c r="G61" s="2"/>
      <c r="H61" s="2"/>
    </row>
    <row r="62" spans="1:8" ht="8.25" customHeight="1">
      <c r="A62" s="18">
        <v>4.1500000000000004</v>
      </c>
      <c r="B62" s="1914" t="s">
        <v>77</v>
      </c>
      <c r="C62" s="1915"/>
      <c r="D62" s="2"/>
      <c r="E62" s="2"/>
      <c r="F62" s="2"/>
      <c r="G62" s="2"/>
      <c r="H62" s="2"/>
    </row>
    <row r="63" spans="1:8" ht="8.25" customHeight="1">
      <c r="A63" s="2"/>
      <c r="B63" s="1912" t="s">
        <v>78</v>
      </c>
      <c r="C63" s="1913"/>
      <c r="D63" s="2"/>
      <c r="E63" s="2"/>
      <c r="F63" s="2"/>
      <c r="G63" s="2"/>
      <c r="H63" s="2"/>
    </row>
    <row r="64" spans="1:8" ht="6.95" customHeight="1">
      <c r="A64" s="2"/>
      <c r="B64" s="1916"/>
      <c r="C64" s="1917"/>
      <c r="D64" s="2"/>
      <c r="E64" s="2"/>
      <c r="F64" s="2"/>
      <c r="G64" s="2"/>
      <c r="H64" s="2"/>
    </row>
    <row r="65" spans="1:8" ht="13.7" customHeight="1">
      <c r="A65" s="13">
        <v>5</v>
      </c>
      <c r="B65" s="1912" t="s">
        <v>79</v>
      </c>
      <c r="C65" s="1913"/>
      <c r="D65" s="4"/>
      <c r="E65" s="4"/>
      <c r="F65" s="4"/>
      <c r="G65" s="4"/>
      <c r="H65" s="4"/>
    </row>
    <row r="66" spans="1:8" ht="6.75" customHeight="1">
      <c r="A66" s="2"/>
      <c r="B66" s="1916"/>
      <c r="C66" s="1917"/>
      <c r="D66" s="2"/>
      <c r="E66" s="2"/>
      <c r="F66" s="2"/>
      <c r="G66" s="2"/>
      <c r="H66" s="2"/>
    </row>
    <row r="67" spans="1:8" ht="8.25" customHeight="1">
      <c r="A67" s="14">
        <v>5.0999999999999996</v>
      </c>
      <c r="B67" s="1914" t="s">
        <v>80</v>
      </c>
      <c r="C67" s="1915"/>
      <c r="D67" s="2"/>
      <c r="E67" s="2"/>
      <c r="F67" s="2"/>
      <c r="G67" s="2"/>
      <c r="H67" s="2"/>
    </row>
    <row r="68" spans="1:8" ht="8.25" customHeight="1">
      <c r="A68" s="14">
        <v>5.2</v>
      </c>
      <c r="B68" s="1914" t="s">
        <v>81</v>
      </c>
      <c r="C68" s="1915"/>
      <c r="D68" s="2"/>
      <c r="E68" s="2"/>
      <c r="F68" s="2"/>
      <c r="G68" s="2"/>
      <c r="H68" s="2"/>
    </row>
    <row r="69" spans="1:8" ht="8.25" customHeight="1">
      <c r="A69" s="14">
        <v>5.3</v>
      </c>
      <c r="B69" s="1914" t="s">
        <v>82</v>
      </c>
      <c r="C69" s="1915"/>
      <c r="D69" s="2"/>
      <c r="E69" s="2"/>
      <c r="F69" s="2"/>
      <c r="G69" s="2"/>
      <c r="H69" s="2"/>
    </row>
    <row r="70" spans="1:8" ht="8.25" customHeight="1">
      <c r="A70" s="14">
        <v>5.4</v>
      </c>
      <c r="B70" s="1914" t="s">
        <v>83</v>
      </c>
      <c r="C70" s="1915"/>
      <c r="D70" s="2"/>
      <c r="E70" s="2"/>
      <c r="F70" s="2"/>
      <c r="G70" s="2"/>
      <c r="H70" s="2"/>
    </row>
    <row r="71" spans="1:8" ht="8.25" customHeight="1">
      <c r="A71" s="14">
        <v>5.5</v>
      </c>
      <c r="B71" s="1914" t="s">
        <v>84</v>
      </c>
      <c r="C71" s="1915"/>
      <c r="D71" s="2"/>
      <c r="E71" s="2"/>
      <c r="F71" s="2"/>
      <c r="G71" s="2"/>
      <c r="H71" s="2"/>
    </row>
    <row r="72" spans="1:8" ht="8.25" customHeight="1">
      <c r="A72" s="14">
        <v>5.6</v>
      </c>
      <c r="B72" s="1914" t="s">
        <v>85</v>
      </c>
      <c r="C72" s="1915"/>
      <c r="D72" s="2"/>
      <c r="E72" s="2"/>
      <c r="F72" s="2"/>
      <c r="G72" s="2"/>
      <c r="H72" s="2"/>
    </row>
    <row r="73" spans="1:8" ht="13.7" customHeight="1">
      <c r="A73" s="4"/>
      <c r="B73" s="1912" t="s">
        <v>86</v>
      </c>
      <c r="C73" s="1913"/>
      <c r="D73" s="4"/>
      <c r="E73" s="4"/>
      <c r="F73" s="4"/>
      <c r="G73" s="4"/>
      <c r="H73" s="4"/>
    </row>
    <row r="74" spans="1:8" ht="8.25" customHeight="1">
      <c r="A74" s="13">
        <v>6</v>
      </c>
      <c r="B74" s="1912" t="s">
        <v>87</v>
      </c>
      <c r="C74" s="1913"/>
      <c r="D74" s="2"/>
      <c r="E74" s="2"/>
      <c r="F74" s="2"/>
      <c r="G74" s="2"/>
      <c r="H74" s="2"/>
    </row>
    <row r="75" spans="1:8" ht="8.25" customHeight="1">
      <c r="A75" s="14">
        <v>6.1</v>
      </c>
      <c r="B75" s="1914" t="s">
        <v>88</v>
      </c>
      <c r="C75" s="1915"/>
      <c r="D75" s="2"/>
      <c r="E75" s="2"/>
      <c r="F75" s="2"/>
      <c r="G75" s="2"/>
      <c r="H75" s="2"/>
    </row>
    <row r="76" spans="1:8" ht="8.25" customHeight="1">
      <c r="A76" s="14">
        <v>6.2</v>
      </c>
      <c r="B76" s="1914" t="s">
        <v>89</v>
      </c>
      <c r="C76" s="1915"/>
      <c r="D76" s="2"/>
      <c r="E76" s="2"/>
      <c r="F76" s="2"/>
      <c r="G76" s="2"/>
      <c r="H76" s="2"/>
    </row>
    <row r="77" spans="1:8" ht="8.25" customHeight="1">
      <c r="A77" s="14">
        <v>6.3</v>
      </c>
      <c r="B77" s="1914" t="s">
        <v>90</v>
      </c>
      <c r="C77" s="1915"/>
      <c r="D77" s="2"/>
      <c r="E77" s="2"/>
      <c r="F77" s="2"/>
      <c r="G77" s="2"/>
      <c r="H77" s="2"/>
    </row>
    <row r="78" spans="1:8" ht="8.25" customHeight="1">
      <c r="A78" s="14">
        <v>6.4</v>
      </c>
      <c r="B78" s="1914" t="s">
        <v>91</v>
      </c>
      <c r="C78" s="1915"/>
      <c r="D78" s="2"/>
      <c r="E78" s="2"/>
      <c r="F78" s="2"/>
      <c r="G78" s="2"/>
      <c r="H78" s="2"/>
    </row>
    <row r="79" spans="1:8" ht="8.25" customHeight="1">
      <c r="A79" s="2"/>
      <c r="B79" s="1912" t="s">
        <v>92</v>
      </c>
      <c r="C79" s="1913"/>
      <c r="D79" s="2"/>
      <c r="E79" s="2"/>
      <c r="F79" s="2"/>
      <c r="G79" s="2"/>
      <c r="H79" s="2"/>
    </row>
    <row r="80" spans="1:8" ht="6.95" customHeight="1">
      <c r="A80" s="2"/>
      <c r="B80" s="1916"/>
      <c r="C80" s="1917"/>
      <c r="D80" s="2"/>
      <c r="E80" s="2"/>
      <c r="F80" s="2"/>
      <c r="G80" s="2"/>
      <c r="H80" s="2"/>
    </row>
    <row r="81" spans="1:8" ht="8.25" customHeight="1">
      <c r="A81" s="13">
        <v>7</v>
      </c>
      <c r="B81" s="1912" t="s">
        <v>93</v>
      </c>
      <c r="C81" s="1913"/>
      <c r="D81" s="2"/>
      <c r="E81" s="2"/>
      <c r="F81" s="2"/>
      <c r="G81" s="2"/>
      <c r="H81" s="2"/>
    </row>
    <row r="82" spans="1:8" ht="9" customHeight="1">
      <c r="A82" s="14">
        <v>7.1</v>
      </c>
      <c r="B82" s="1914" t="s">
        <v>94</v>
      </c>
      <c r="C82" s="1915"/>
      <c r="D82" s="2"/>
      <c r="E82" s="2"/>
      <c r="F82" s="2"/>
      <c r="G82" s="2"/>
      <c r="H82" s="2"/>
    </row>
    <row r="83" spans="1:8" ht="8.25" customHeight="1">
      <c r="A83" s="14">
        <v>7.2</v>
      </c>
      <c r="B83" s="1914" t="s">
        <v>95</v>
      </c>
      <c r="C83" s="1915"/>
      <c r="D83" s="2"/>
      <c r="E83" s="2"/>
      <c r="F83" s="2"/>
      <c r="G83" s="2"/>
      <c r="H83" s="2"/>
    </row>
    <row r="84" spans="1:8" ht="8.25" customHeight="1">
      <c r="A84" s="13">
        <v>8</v>
      </c>
      <c r="B84" s="1912" t="s">
        <v>96</v>
      </c>
      <c r="C84" s="1913"/>
      <c r="D84" s="2"/>
      <c r="E84" s="2"/>
      <c r="F84" s="2"/>
      <c r="G84" s="2"/>
      <c r="H84" s="2"/>
    </row>
    <row r="85" spans="1:8" ht="16.5" customHeight="1">
      <c r="A85" s="1918" t="s">
        <v>97</v>
      </c>
      <c r="B85" s="1919"/>
      <c r="C85" s="1919"/>
      <c r="D85" s="1919"/>
      <c r="E85" s="1919"/>
      <c r="F85" s="1919"/>
      <c r="G85" s="1919"/>
      <c r="H85" s="1920"/>
    </row>
    <row r="86" spans="1:8" ht="6.75" customHeight="1">
      <c r="A86" s="19" t="s">
        <v>98</v>
      </c>
    </row>
  </sheetData>
  <mergeCells count="89">
    <mergeCell ref="B84:C84"/>
    <mergeCell ref="A85:H85"/>
    <mergeCell ref="B79:C79"/>
    <mergeCell ref="B80:C80"/>
    <mergeCell ref="B81:C81"/>
    <mergeCell ref="B82:C82"/>
    <mergeCell ref="B83:C83"/>
    <mergeCell ref="B74:C74"/>
    <mergeCell ref="B75:C75"/>
    <mergeCell ref="B76:C76"/>
    <mergeCell ref="B77:C77"/>
    <mergeCell ref="B78:C78"/>
    <mergeCell ref="B69:C69"/>
    <mergeCell ref="B70:C70"/>
    <mergeCell ref="B71:C71"/>
    <mergeCell ref="B72:C72"/>
    <mergeCell ref="B73:C73"/>
    <mergeCell ref="B64:C64"/>
    <mergeCell ref="B65:C65"/>
    <mergeCell ref="B66:C66"/>
    <mergeCell ref="B67:C67"/>
    <mergeCell ref="B68:C68"/>
    <mergeCell ref="B59:C59"/>
    <mergeCell ref="B60:C60"/>
    <mergeCell ref="B61:C61"/>
    <mergeCell ref="B62:C62"/>
    <mergeCell ref="B63:C63"/>
    <mergeCell ref="B54:C54"/>
    <mergeCell ref="B55:C55"/>
    <mergeCell ref="B56:C56"/>
    <mergeCell ref="B57:C57"/>
    <mergeCell ref="B58:C58"/>
    <mergeCell ref="B49:C49"/>
    <mergeCell ref="B50:C50"/>
    <mergeCell ref="B51:C51"/>
    <mergeCell ref="B52:C52"/>
    <mergeCell ref="B53:C53"/>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 ref="B9:C9"/>
    <mergeCell ref="B10:C10"/>
    <mergeCell ref="B11:C11"/>
    <mergeCell ref="B12:C12"/>
    <mergeCell ref="B13:C13"/>
    <mergeCell ref="B4:C4"/>
    <mergeCell ref="B5:C5"/>
    <mergeCell ref="B6:C6"/>
    <mergeCell ref="B7:C7"/>
    <mergeCell ref="B8:C8"/>
    <mergeCell ref="A1:H1"/>
    <mergeCell ref="A2:A3"/>
    <mergeCell ref="B2:C3"/>
    <mergeCell ref="D2:E2"/>
    <mergeCell ref="F2:F3"/>
    <mergeCell ref="G2:G3"/>
    <mergeCell ref="H2:H3"/>
  </mergeCells>
  <pageMargins left="0.7" right="0.7" top="0.75" bottom="0.75" header="0.3" footer="0.3"/>
  <pageSetup paperSize="9" orientation="portrait" horizontalDpi="4294967293" verticalDpi="4294967295" r:id="rId1"/>
  <drawing r:id="rId2"/>
</worksheet>
</file>

<file path=xl/worksheets/sheet18.xml><?xml version="1.0" encoding="utf-8"?>
<worksheet xmlns="http://schemas.openxmlformats.org/spreadsheetml/2006/main" xmlns:r="http://schemas.openxmlformats.org/officeDocument/2006/relationships">
  <dimension ref="A1:G77"/>
  <sheetViews>
    <sheetView zoomScale="202" zoomScaleNormal="202" workbookViewId="0">
      <selection activeCell="J3" sqref="J3"/>
    </sheetView>
  </sheetViews>
  <sheetFormatPr defaultRowHeight="12.75"/>
  <cols>
    <col min="1" max="1" width="5.83203125" customWidth="1"/>
    <col min="2" max="2" width="30.5" customWidth="1"/>
    <col min="3" max="3" width="8.6640625" customWidth="1"/>
    <col min="4" max="4" width="8.5" customWidth="1"/>
    <col min="5" max="6" width="8" customWidth="1"/>
    <col min="7" max="7" width="9.5" customWidth="1"/>
  </cols>
  <sheetData>
    <row r="1" spans="1:7" ht="61.7" customHeight="1">
      <c r="A1" s="1897" t="s">
        <v>99</v>
      </c>
      <c r="B1" s="1898"/>
      <c r="C1" s="1898"/>
      <c r="D1" s="1898"/>
      <c r="E1" s="1898"/>
      <c r="F1" s="1898"/>
      <c r="G1" s="1899"/>
    </row>
    <row r="2" spans="1:7" ht="8.25" customHeight="1">
      <c r="A2" s="1926" t="s">
        <v>100</v>
      </c>
      <c r="B2" s="1928" t="s">
        <v>101</v>
      </c>
      <c r="C2" s="1930" t="s">
        <v>102</v>
      </c>
      <c r="D2" s="1931"/>
      <c r="E2" s="1926" t="s">
        <v>103</v>
      </c>
      <c r="F2" s="1926" t="s">
        <v>104</v>
      </c>
      <c r="G2" s="1908" t="s">
        <v>105</v>
      </c>
    </row>
    <row r="3" spans="1:7" ht="22.35" customHeight="1">
      <c r="A3" s="1927"/>
      <c r="B3" s="1929"/>
      <c r="C3" s="20" t="s">
        <v>106</v>
      </c>
      <c r="D3" s="21" t="s">
        <v>107</v>
      </c>
      <c r="E3" s="1927"/>
      <c r="F3" s="1927"/>
      <c r="G3" s="1909"/>
    </row>
    <row r="4" spans="1:7" ht="8.25" customHeight="1">
      <c r="A4" s="22">
        <v>-1</v>
      </c>
      <c r="B4" s="23">
        <v>-2</v>
      </c>
      <c r="C4" s="23">
        <v>-3</v>
      </c>
      <c r="D4" s="23">
        <v>-4</v>
      </c>
      <c r="E4" s="23">
        <v>-5</v>
      </c>
      <c r="F4" s="23">
        <v>-6</v>
      </c>
      <c r="G4" s="23">
        <v>-7</v>
      </c>
    </row>
    <row r="5" spans="1:7" ht="8.25" customHeight="1">
      <c r="A5" s="24">
        <v>1</v>
      </c>
      <c r="B5" s="20" t="s">
        <v>108</v>
      </c>
      <c r="C5" s="2"/>
      <c r="D5" s="2"/>
      <c r="E5" s="2"/>
      <c r="F5" s="2"/>
      <c r="G5" s="2"/>
    </row>
    <row r="6" spans="1:7" ht="8.25" customHeight="1">
      <c r="A6" s="25">
        <v>1.1000000000000001</v>
      </c>
      <c r="B6" s="26" t="s">
        <v>109</v>
      </c>
      <c r="C6" s="2"/>
      <c r="D6" s="2"/>
      <c r="E6" s="2"/>
      <c r="F6" s="2"/>
      <c r="G6" s="2"/>
    </row>
    <row r="7" spans="1:7" ht="8.25" customHeight="1">
      <c r="A7" s="25">
        <v>1.2</v>
      </c>
      <c r="B7" s="26" t="s">
        <v>110</v>
      </c>
      <c r="C7" s="2"/>
      <c r="D7" s="2"/>
      <c r="E7" s="2"/>
      <c r="F7" s="2"/>
      <c r="G7" s="2"/>
    </row>
    <row r="8" spans="1:7" ht="8.25" customHeight="1">
      <c r="A8" s="25">
        <v>1.3</v>
      </c>
      <c r="B8" s="26" t="s">
        <v>111</v>
      </c>
      <c r="C8" s="2"/>
      <c r="D8" s="2"/>
      <c r="E8" s="2"/>
      <c r="F8" s="2"/>
      <c r="G8" s="2"/>
    </row>
    <row r="9" spans="1:7" ht="8.25" customHeight="1">
      <c r="A9" s="2"/>
      <c r="B9" s="20" t="s">
        <v>112</v>
      </c>
      <c r="C9" s="2"/>
      <c r="D9" s="2"/>
      <c r="E9" s="2"/>
      <c r="F9" s="2"/>
      <c r="G9" s="2"/>
    </row>
    <row r="10" spans="1:7" ht="8.25" customHeight="1">
      <c r="A10" s="24">
        <v>2</v>
      </c>
      <c r="B10" s="20" t="s">
        <v>113</v>
      </c>
      <c r="C10" s="2"/>
      <c r="D10" s="2"/>
      <c r="E10" s="2"/>
      <c r="F10" s="2"/>
      <c r="G10" s="2"/>
    </row>
    <row r="11" spans="1:7" ht="7.7" customHeight="1">
      <c r="A11" s="2"/>
      <c r="B11" s="2"/>
      <c r="C11" s="2"/>
      <c r="D11" s="2"/>
      <c r="E11" s="2"/>
      <c r="F11" s="2"/>
      <c r="G11" s="2"/>
    </row>
    <row r="12" spans="1:7" ht="8.25" customHeight="1">
      <c r="A12" s="24">
        <v>2.1</v>
      </c>
      <c r="B12" s="20" t="s">
        <v>114</v>
      </c>
      <c r="C12" s="2"/>
      <c r="D12" s="2"/>
      <c r="E12" s="2"/>
      <c r="F12" s="2"/>
      <c r="G12" s="2"/>
    </row>
    <row r="13" spans="1:7" ht="8.25" customHeight="1">
      <c r="A13" s="24">
        <v>2.2000000000000002</v>
      </c>
      <c r="B13" s="20" t="s">
        <v>115</v>
      </c>
      <c r="C13" s="2"/>
      <c r="D13" s="2"/>
      <c r="E13" s="2"/>
      <c r="F13" s="2"/>
      <c r="G13" s="2"/>
    </row>
    <row r="14" spans="1:7" ht="8.25" customHeight="1">
      <c r="A14" s="24">
        <v>2.2999999999999998</v>
      </c>
      <c r="B14" s="20" t="s">
        <v>116</v>
      </c>
      <c r="C14" s="2"/>
      <c r="D14" s="2"/>
      <c r="E14" s="2"/>
      <c r="F14" s="2"/>
      <c r="G14" s="2"/>
    </row>
    <row r="15" spans="1:7" ht="8.25" customHeight="1">
      <c r="A15" s="24">
        <v>2.4</v>
      </c>
      <c r="B15" s="20" t="s">
        <v>117</v>
      </c>
      <c r="C15" s="2"/>
      <c r="D15" s="2"/>
      <c r="E15" s="2"/>
      <c r="F15" s="2"/>
      <c r="G15" s="2"/>
    </row>
    <row r="16" spans="1:7" ht="8.25" customHeight="1">
      <c r="A16" s="27" t="s">
        <v>118</v>
      </c>
      <c r="B16" s="26" t="s">
        <v>119</v>
      </c>
      <c r="C16" s="2"/>
      <c r="D16" s="2"/>
      <c r="E16" s="2"/>
      <c r="F16" s="2"/>
      <c r="G16" s="2"/>
    </row>
    <row r="17" spans="1:7" ht="8.25" customHeight="1">
      <c r="A17" s="27" t="s">
        <v>120</v>
      </c>
      <c r="B17" s="26" t="s">
        <v>121</v>
      </c>
      <c r="C17" s="2"/>
      <c r="D17" s="2"/>
      <c r="E17" s="2"/>
      <c r="F17" s="2"/>
      <c r="G17" s="2"/>
    </row>
    <row r="18" spans="1:7" ht="8.25" customHeight="1">
      <c r="A18" s="27" t="s">
        <v>122</v>
      </c>
      <c r="B18" s="26" t="s">
        <v>123</v>
      </c>
      <c r="C18" s="2"/>
      <c r="D18" s="2"/>
      <c r="E18" s="2"/>
      <c r="F18" s="2"/>
      <c r="G18" s="2"/>
    </row>
    <row r="19" spans="1:7" ht="8.25" customHeight="1">
      <c r="A19" s="27" t="s">
        <v>124</v>
      </c>
      <c r="B19" s="26" t="s">
        <v>125</v>
      </c>
      <c r="C19" s="2"/>
      <c r="D19" s="2"/>
      <c r="E19" s="2"/>
      <c r="F19" s="2"/>
      <c r="G19" s="2"/>
    </row>
    <row r="20" spans="1:7" ht="8.25" customHeight="1">
      <c r="A20" s="27" t="s">
        <v>126</v>
      </c>
      <c r="B20" s="26" t="s">
        <v>127</v>
      </c>
      <c r="C20" s="2"/>
      <c r="D20" s="2"/>
      <c r="E20" s="2"/>
      <c r="F20" s="2"/>
      <c r="G20" s="2"/>
    </row>
    <row r="21" spans="1:7" ht="8.25" customHeight="1">
      <c r="A21" s="27" t="s">
        <v>128</v>
      </c>
      <c r="B21" s="26" t="s">
        <v>129</v>
      </c>
      <c r="C21" s="2"/>
      <c r="D21" s="2"/>
      <c r="E21" s="2"/>
      <c r="F21" s="2"/>
      <c r="G21" s="2"/>
    </row>
    <row r="22" spans="1:7" ht="8.25" customHeight="1">
      <c r="A22" s="27" t="s">
        <v>130</v>
      </c>
      <c r="B22" s="26" t="s">
        <v>131</v>
      </c>
      <c r="C22" s="2"/>
      <c r="D22" s="2"/>
      <c r="E22" s="2"/>
      <c r="F22" s="2"/>
      <c r="G22" s="2"/>
    </row>
    <row r="23" spans="1:7" ht="8.25" customHeight="1">
      <c r="A23" s="27" t="s">
        <v>132</v>
      </c>
      <c r="B23" s="26" t="s">
        <v>133</v>
      </c>
      <c r="C23" s="2"/>
      <c r="D23" s="2"/>
      <c r="E23" s="2"/>
      <c r="F23" s="2"/>
      <c r="G23" s="2"/>
    </row>
    <row r="24" spans="1:7" ht="8.25" customHeight="1">
      <c r="A24" s="27" t="s">
        <v>134</v>
      </c>
      <c r="B24" s="26" t="s">
        <v>135</v>
      </c>
      <c r="C24" s="2"/>
      <c r="D24" s="2"/>
      <c r="E24" s="2"/>
      <c r="F24" s="2"/>
      <c r="G24" s="2"/>
    </row>
    <row r="25" spans="1:7" ht="8.85" customHeight="1">
      <c r="A25" s="28">
        <v>40213</v>
      </c>
      <c r="B25" s="1921" t="s">
        <v>136</v>
      </c>
      <c r="C25" s="2"/>
      <c r="D25" s="2"/>
      <c r="E25" s="2"/>
      <c r="F25" s="2"/>
      <c r="G25" s="2"/>
    </row>
    <row r="26" spans="1:7" ht="7.7" customHeight="1">
      <c r="A26" s="2"/>
      <c r="B26" s="1922"/>
      <c r="C26" s="2"/>
      <c r="D26" s="2"/>
      <c r="E26" s="2"/>
      <c r="F26" s="2"/>
      <c r="G26" s="2"/>
    </row>
    <row r="27" spans="1:7" ht="8.25" customHeight="1">
      <c r="A27" s="24">
        <v>2.5</v>
      </c>
      <c r="B27" s="20" t="s">
        <v>137</v>
      </c>
      <c r="C27" s="2"/>
      <c r="D27" s="2"/>
      <c r="E27" s="2"/>
      <c r="F27" s="2"/>
      <c r="G27" s="2"/>
    </row>
    <row r="28" spans="1:7" ht="8.25" customHeight="1">
      <c r="A28" s="27" t="s">
        <v>138</v>
      </c>
      <c r="B28" s="26" t="s">
        <v>139</v>
      </c>
      <c r="C28" s="2"/>
      <c r="D28" s="2"/>
      <c r="E28" s="2"/>
      <c r="F28" s="2"/>
      <c r="G28" s="2"/>
    </row>
    <row r="29" spans="1:7" ht="8.25" customHeight="1">
      <c r="A29" s="27" t="s">
        <v>140</v>
      </c>
      <c r="B29" s="26" t="s">
        <v>141</v>
      </c>
      <c r="C29" s="2"/>
      <c r="D29" s="2"/>
      <c r="E29" s="2"/>
      <c r="F29" s="2"/>
      <c r="G29" s="2"/>
    </row>
    <row r="30" spans="1:7" ht="8.25" customHeight="1">
      <c r="A30" s="27" t="s">
        <v>142</v>
      </c>
      <c r="B30" s="26" t="s">
        <v>143</v>
      </c>
      <c r="C30" s="2"/>
      <c r="D30" s="2"/>
      <c r="E30" s="2"/>
      <c r="F30" s="2"/>
      <c r="G30" s="2"/>
    </row>
    <row r="31" spans="1:7" ht="8.25" customHeight="1">
      <c r="A31" s="27" t="s">
        <v>144</v>
      </c>
      <c r="B31" s="26" t="s">
        <v>145</v>
      </c>
      <c r="C31" s="2"/>
      <c r="D31" s="2"/>
      <c r="E31" s="2"/>
      <c r="F31" s="2"/>
      <c r="G31" s="2"/>
    </row>
    <row r="32" spans="1:7" ht="8.25" customHeight="1">
      <c r="A32" s="27" t="s">
        <v>146</v>
      </c>
      <c r="B32" s="26" t="s">
        <v>147</v>
      </c>
      <c r="C32" s="2"/>
      <c r="D32" s="2"/>
      <c r="E32" s="2"/>
      <c r="F32" s="2"/>
      <c r="G32" s="2"/>
    </row>
    <row r="33" spans="1:7" ht="8.25" customHeight="1">
      <c r="A33" s="27" t="s">
        <v>148</v>
      </c>
      <c r="B33" s="26" t="s">
        <v>149</v>
      </c>
      <c r="C33" s="2"/>
      <c r="D33" s="2"/>
      <c r="E33" s="2"/>
      <c r="F33" s="2"/>
      <c r="G33" s="2"/>
    </row>
    <row r="34" spans="1:7" ht="8.25" customHeight="1">
      <c r="A34" s="2"/>
      <c r="B34" s="20" t="s">
        <v>150</v>
      </c>
      <c r="C34" s="2"/>
      <c r="D34" s="2"/>
      <c r="E34" s="2"/>
      <c r="F34" s="2"/>
      <c r="G34" s="2"/>
    </row>
    <row r="35" spans="1:7" ht="8.25" customHeight="1">
      <c r="A35" s="24">
        <v>2.6</v>
      </c>
      <c r="B35" s="20" t="s">
        <v>151</v>
      </c>
      <c r="C35" s="2"/>
      <c r="D35" s="2"/>
      <c r="E35" s="2"/>
      <c r="F35" s="2"/>
      <c r="G35" s="2"/>
    </row>
    <row r="36" spans="1:7" ht="15.2" customHeight="1">
      <c r="A36" s="4"/>
      <c r="B36" s="20" t="s">
        <v>152</v>
      </c>
      <c r="C36" s="4"/>
      <c r="D36" s="4"/>
      <c r="E36" s="4"/>
      <c r="F36" s="4"/>
      <c r="G36" s="4"/>
    </row>
    <row r="37" spans="1:7" ht="8.25" customHeight="1">
      <c r="A37" s="24">
        <v>2.7</v>
      </c>
      <c r="B37" s="20" t="s">
        <v>153</v>
      </c>
      <c r="C37" s="2"/>
      <c r="D37" s="2"/>
      <c r="E37" s="2"/>
      <c r="F37" s="2"/>
      <c r="G37" s="2"/>
    </row>
    <row r="38" spans="1:7" ht="8.25" customHeight="1">
      <c r="A38" s="27" t="s">
        <v>154</v>
      </c>
      <c r="B38" s="26" t="s">
        <v>155</v>
      </c>
      <c r="C38" s="2"/>
      <c r="D38" s="2"/>
      <c r="E38" s="2"/>
      <c r="F38" s="2"/>
      <c r="G38" s="2"/>
    </row>
    <row r="39" spans="1:7" ht="8.25" customHeight="1">
      <c r="A39" s="27" t="s">
        <v>156</v>
      </c>
      <c r="B39" s="26" t="s">
        <v>157</v>
      </c>
      <c r="C39" s="2"/>
      <c r="D39" s="2"/>
      <c r="E39" s="2"/>
      <c r="F39" s="2"/>
      <c r="G39" s="2"/>
    </row>
    <row r="40" spans="1:7" ht="8.25" customHeight="1">
      <c r="A40" s="2"/>
      <c r="B40" s="20" t="s">
        <v>158</v>
      </c>
      <c r="C40" s="2"/>
      <c r="D40" s="2"/>
      <c r="E40" s="2"/>
      <c r="F40" s="2"/>
      <c r="G40" s="2"/>
    </row>
    <row r="41" spans="1:7" ht="8.25" customHeight="1">
      <c r="A41" s="2"/>
      <c r="B41" s="20" t="s">
        <v>159</v>
      </c>
      <c r="C41" s="2"/>
      <c r="D41" s="2"/>
      <c r="E41" s="2"/>
      <c r="F41" s="2"/>
      <c r="G41" s="2"/>
    </row>
    <row r="42" spans="1:7" ht="8.25" customHeight="1">
      <c r="A42" s="24">
        <v>3</v>
      </c>
      <c r="B42" s="20" t="s">
        <v>160</v>
      </c>
      <c r="C42" s="2"/>
      <c r="D42" s="2"/>
      <c r="E42" s="2"/>
      <c r="F42" s="2"/>
      <c r="G42" s="2"/>
    </row>
    <row r="43" spans="1:7" ht="8.25" customHeight="1">
      <c r="A43" s="24">
        <v>4</v>
      </c>
      <c r="B43" s="20" t="s">
        <v>161</v>
      </c>
      <c r="C43" s="2"/>
      <c r="D43" s="2"/>
      <c r="E43" s="2"/>
      <c r="F43" s="2"/>
      <c r="G43" s="2"/>
    </row>
    <row r="44" spans="1:7" ht="8.25" customHeight="1">
      <c r="A44" s="25">
        <v>4.0999999999999996</v>
      </c>
      <c r="B44" s="26" t="s">
        <v>162</v>
      </c>
      <c r="C44" s="2"/>
      <c r="D44" s="2"/>
      <c r="E44" s="2"/>
      <c r="F44" s="2"/>
      <c r="G44" s="2"/>
    </row>
    <row r="45" spans="1:7" ht="8.25" customHeight="1">
      <c r="A45" s="25">
        <v>4.2</v>
      </c>
      <c r="B45" s="26" t="s">
        <v>121</v>
      </c>
      <c r="C45" s="2"/>
      <c r="D45" s="2"/>
      <c r="E45" s="2"/>
      <c r="F45" s="2"/>
      <c r="G45" s="2"/>
    </row>
    <row r="46" spans="1:7" ht="8.25" customHeight="1">
      <c r="A46" s="25">
        <v>4.3</v>
      </c>
      <c r="B46" s="26" t="s">
        <v>123</v>
      </c>
      <c r="C46" s="2"/>
      <c r="D46" s="2"/>
      <c r="E46" s="2"/>
      <c r="F46" s="2"/>
      <c r="G46" s="2"/>
    </row>
    <row r="47" spans="1:7" ht="8.25" customHeight="1">
      <c r="A47" s="25">
        <v>4.4000000000000004</v>
      </c>
      <c r="B47" s="26" t="s">
        <v>125</v>
      </c>
      <c r="C47" s="2"/>
      <c r="D47" s="2"/>
      <c r="E47" s="2"/>
      <c r="F47" s="2"/>
      <c r="G47" s="2"/>
    </row>
    <row r="48" spans="1:7" ht="8.25" customHeight="1">
      <c r="A48" s="25">
        <v>4.5</v>
      </c>
      <c r="B48" s="26" t="s">
        <v>127</v>
      </c>
      <c r="C48" s="2"/>
      <c r="D48" s="2"/>
      <c r="E48" s="2"/>
      <c r="F48" s="2"/>
      <c r="G48" s="2"/>
    </row>
    <row r="49" spans="1:7" ht="8.25" customHeight="1">
      <c r="A49" s="25">
        <v>4.5999999999999996</v>
      </c>
      <c r="B49" s="26" t="s">
        <v>129</v>
      </c>
      <c r="C49" s="2"/>
      <c r="D49" s="2"/>
      <c r="E49" s="2"/>
      <c r="F49" s="2"/>
      <c r="G49" s="2"/>
    </row>
    <row r="50" spans="1:7" ht="8.25" customHeight="1">
      <c r="A50" s="25">
        <v>4.7</v>
      </c>
      <c r="B50" s="26" t="s">
        <v>119</v>
      </c>
      <c r="C50" s="2"/>
      <c r="D50" s="2"/>
      <c r="E50" s="2"/>
      <c r="F50" s="2"/>
      <c r="G50" s="2"/>
    </row>
    <row r="51" spans="1:7" ht="10.35" customHeight="1">
      <c r="A51" s="25">
        <v>4.8</v>
      </c>
      <c r="B51" s="26" t="s">
        <v>163</v>
      </c>
      <c r="C51" s="2"/>
      <c r="D51" s="2"/>
      <c r="E51" s="2"/>
      <c r="F51" s="2"/>
      <c r="G51" s="2"/>
    </row>
    <row r="52" spans="1:7" ht="8.25" customHeight="1">
      <c r="A52" s="25">
        <v>4.9000000000000004</v>
      </c>
      <c r="B52" s="26" t="s">
        <v>164</v>
      </c>
      <c r="C52" s="2"/>
      <c r="D52" s="2"/>
      <c r="E52" s="2"/>
      <c r="F52" s="2"/>
      <c r="G52" s="2"/>
    </row>
    <row r="53" spans="1:7" ht="8.25" customHeight="1">
      <c r="A53" s="29">
        <v>4.0999999999999996</v>
      </c>
      <c r="B53" s="26" t="s">
        <v>165</v>
      </c>
      <c r="C53" s="2"/>
      <c r="D53" s="2"/>
      <c r="E53" s="2"/>
      <c r="F53" s="2"/>
      <c r="G53" s="2"/>
    </row>
    <row r="54" spans="1:7" ht="8.25" customHeight="1">
      <c r="A54" s="29">
        <v>4.1100000000000003</v>
      </c>
      <c r="B54" s="26" t="s">
        <v>135</v>
      </c>
      <c r="C54" s="2"/>
      <c r="D54" s="2"/>
      <c r="E54" s="2"/>
      <c r="F54" s="2"/>
      <c r="G54" s="2"/>
    </row>
    <row r="55" spans="1:7" ht="8.25" customHeight="1">
      <c r="A55" s="2"/>
      <c r="B55" s="20" t="s">
        <v>166</v>
      </c>
      <c r="C55" s="2"/>
      <c r="D55" s="2"/>
      <c r="E55" s="2"/>
      <c r="F55" s="2"/>
      <c r="G55" s="2"/>
    </row>
    <row r="56" spans="1:7" ht="7.7" customHeight="1">
      <c r="A56" s="2"/>
      <c r="B56" s="2"/>
      <c r="C56" s="2"/>
      <c r="D56" s="2"/>
      <c r="E56" s="2"/>
      <c r="F56" s="2"/>
      <c r="G56" s="2"/>
    </row>
    <row r="57" spans="1:7" ht="15.2" customHeight="1">
      <c r="A57" s="24">
        <v>5</v>
      </c>
      <c r="B57" s="20" t="s">
        <v>167</v>
      </c>
      <c r="C57" s="4"/>
      <c r="D57" s="4"/>
      <c r="E57" s="4"/>
      <c r="F57" s="4"/>
      <c r="G57" s="4"/>
    </row>
    <row r="58" spans="1:7" ht="7.5" customHeight="1">
      <c r="A58" s="2"/>
      <c r="B58" s="2"/>
      <c r="C58" s="2"/>
      <c r="D58" s="2"/>
      <c r="E58" s="2"/>
      <c r="F58" s="2"/>
      <c r="G58" s="2"/>
    </row>
    <row r="59" spans="1:7" ht="8.25" customHeight="1">
      <c r="A59" s="25">
        <v>5.0999999999999996</v>
      </c>
      <c r="B59" s="26" t="s">
        <v>168</v>
      </c>
      <c r="C59" s="2"/>
      <c r="D59" s="2"/>
      <c r="E59" s="2"/>
      <c r="F59" s="2"/>
      <c r="G59" s="2"/>
    </row>
    <row r="60" spans="1:7" ht="8.25" customHeight="1">
      <c r="A60" s="25">
        <v>5.2</v>
      </c>
      <c r="B60" s="26" t="s">
        <v>169</v>
      </c>
      <c r="C60" s="2"/>
      <c r="D60" s="2"/>
      <c r="E60" s="2"/>
      <c r="F60" s="2"/>
      <c r="G60" s="2"/>
    </row>
    <row r="61" spans="1:7" ht="8.25" customHeight="1">
      <c r="A61" s="25">
        <v>5.3</v>
      </c>
      <c r="B61" s="26" t="s">
        <v>170</v>
      </c>
      <c r="C61" s="2"/>
      <c r="D61" s="2"/>
      <c r="E61" s="2"/>
      <c r="F61" s="2"/>
      <c r="G61" s="2"/>
    </row>
    <row r="62" spans="1:7" ht="8.25" customHeight="1">
      <c r="A62" s="25">
        <v>5.4</v>
      </c>
      <c r="B62" s="26" t="s">
        <v>171</v>
      </c>
      <c r="C62" s="2"/>
      <c r="D62" s="2"/>
      <c r="E62" s="2"/>
      <c r="F62" s="2"/>
      <c r="G62" s="2"/>
    </row>
    <row r="63" spans="1:7" ht="8.25" customHeight="1">
      <c r="A63" s="25">
        <v>5.5</v>
      </c>
      <c r="B63" s="26" t="s">
        <v>172</v>
      </c>
      <c r="C63" s="2"/>
      <c r="D63" s="2"/>
      <c r="E63" s="2"/>
      <c r="F63" s="2"/>
      <c r="G63" s="2"/>
    </row>
    <row r="64" spans="1:7" ht="8.25" customHeight="1">
      <c r="A64" s="25">
        <v>5.6</v>
      </c>
      <c r="B64" s="26" t="s">
        <v>173</v>
      </c>
      <c r="C64" s="2"/>
      <c r="D64" s="2"/>
      <c r="E64" s="2"/>
      <c r="F64" s="2"/>
      <c r="G64" s="2"/>
    </row>
    <row r="65" spans="1:7" ht="15.2" customHeight="1">
      <c r="A65" s="4"/>
      <c r="B65" s="20" t="s">
        <v>174</v>
      </c>
      <c r="C65" s="4"/>
      <c r="D65" s="4"/>
      <c r="E65" s="4"/>
      <c r="F65" s="4"/>
      <c r="G65" s="4"/>
    </row>
    <row r="66" spans="1:7" ht="8.25" customHeight="1">
      <c r="A66" s="24">
        <v>6</v>
      </c>
      <c r="B66" s="20" t="s">
        <v>175</v>
      </c>
      <c r="C66" s="2"/>
      <c r="D66" s="2"/>
      <c r="E66" s="2"/>
      <c r="F66" s="2"/>
      <c r="G66" s="2"/>
    </row>
    <row r="67" spans="1:7" ht="8.25" customHeight="1">
      <c r="A67" s="25">
        <v>6.1</v>
      </c>
      <c r="B67" s="26" t="s">
        <v>176</v>
      </c>
      <c r="C67" s="2"/>
      <c r="D67" s="2"/>
      <c r="E67" s="2"/>
      <c r="F67" s="2"/>
      <c r="G67" s="2"/>
    </row>
    <row r="68" spans="1:7" ht="8.25" customHeight="1">
      <c r="A68" s="25">
        <v>6.2</v>
      </c>
      <c r="B68" s="26" t="s">
        <v>177</v>
      </c>
      <c r="C68" s="2"/>
      <c r="D68" s="2"/>
      <c r="E68" s="2"/>
      <c r="F68" s="2"/>
      <c r="G68" s="2"/>
    </row>
    <row r="69" spans="1:7" ht="8.25" customHeight="1">
      <c r="A69" s="25">
        <v>6.3</v>
      </c>
      <c r="B69" s="26" t="s">
        <v>178</v>
      </c>
      <c r="C69" s="2"/>
      <c r="D69" s="2"/>
      <c r="E69" s="2"/>
      <c r="F69" s="2"/>
      <c r="G69" s="2"/>
    </row>
    <row r="70" spans="1:7" ht="8.25" customHeight="1">
      <c r="A70" s="25">
        <v>6.4</v>
      </c>
      <c r="B70" s="26" t="s">
        <v>179</v>
      </c>
      <c r="C70" s="2"/>
      <c r="D70" s="2"/>
      <c r="E70" s="2"/>
      <c r="F70" s="2"/>
      <c r="G70" s="2"/>
    </row>
    <row r="71" spans="1:7" ht="8.25" customHeight="1">
      <c r="A71" s="2"/>
      <c r="B71" s="20" t="s">
        <v>180</v>
      </c>
      <c r="C71" s="2"/>
      <c r="D71" s="2"/>
      <c r="E71" s="2"/>
      <c r="F71" s="2"/>
      <c r="G71" s="2"/>
    </row>
    <row r="72" spans="1:7" ht="7.7" customHeight="1">
      <c r="A72" s="2"/>
      <c r="B72" s="2"/>
      <c r="C72" s="2"/>
      <c r="D72" s="2"/>
      <c r="E72" s="2"/>
      <c r="F72" s="2"/>
      <c r="G72" s="2"/>
    </row>
    <row r="73" spans="1:7" ht="8.25" customHeight="1">
      <c r="A73" s="24">
        <v>7</v>
      </c>
      <c r="B73" s="20" t="s">
        <v>181</v>
      </c>
      <c r="C73" s="2"/>
      <c r="D73" s="2"/>
      <c r="E73" s="2"/>
      <c r="F73" s="2"/>
      <c r="G73" s="2"/>
    </row>
    <row r="74" spans="1:7" ht="8.25" customHeight="1">
      <c r="A74" s="25">
        <v>7.1</v>
      </c>
      <c r="B74" s="26" t="s">
        <v>182</v>
      </c>
      <c r="C74" s="2"/>
      <c r="D74" s="2"/>
      <c r="E74" s="2"/>
      <c r="F74" s="2"/>
      <c r="G74" s="2"/>
    </row>
    <row r="75" spans="1:7" ht="8.25" customHeight="1">
      <c r="A75" s="25">
        <v>7.2</v>
      </c>
      <c r="B75" s="26" t="s">
        <v>183</v>
      </c>
      <c r="C75" s="2"/>
      <c r="D75" s="2"/>
      <c r="E75" s="2"/>
      <c r="F75" s="2"/>
      <c r="G75" s="2"/>
    </row>
    <row r="76" spans="1:7" ht="8.25" customHeight="1">
      <c r="A76" s="24">
        <v>8</v>
      </c>
      <c r="B76" s="20" t="s">
        <v>184</v>
      </c>
      <c r="C76" s="2"/>
      <c r="D76" s="2"/>
      <c r="E76" s="2"/>
      <c r="F76" s="2"/>
      <c r="G76" s="2"/>
    </row>
    <row r="77" spans="1:7" ht="16.5" customHeight="1">
      <c r="A77" s="1923" t="s">
        <v>185</v>
      </c>
      <c r="B77" s="1924"/>
      <c r="C77" s="1924"/>
      <c r="D77" s="1924"/>
      <c r="E77" s="1924"/>
      <c r="F77" s="1924"/>
      <c r="G77" s="1925"/>
    </row>
  </sheetData>
  <mergeCells count="9">
    <mergeCell ref="B25:B26"/>
    <mergeCell ref="A77:G77"/>
    <mergeCell ref="A1:G1"/>
    <mergeCell ref="A2:A3"/>
    <mergeCell ref="B2:B3"/>
    <mergeCell ref="C2:D2"/>
    <mergeCell ref="E2:E3"/>
    <mergeCell ref="F2:F3"/>
    <mergeCell ref="G2:G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sheetPr>
    <tabColor theme="9" tint="-0.249977111117893"/>
  </sheetPr>
  <dimension ref="A1:K55"/>
  <sheetViews>
    <sheetView zoomScale="160" zoomScaleNormal="160" workbookViewId="0">
      <selection sqref="A1:K1"/>
    </sheetView>
  </sheetViews>
  <sheetFormatPr defaultRowHeight="12.75"/>
  <cols>
    <col min="1" max="1" width="5.83203125" customWidth="1"/>
    <col min="2" max="2" width="10.83203125" customWidth="1"/>
    <col min="3" max="3" width="19.83203125" customWidth="1"/>
    <col min="4" max="4" width="14.6640625" customWidth="1"/>
    <col min="5" max="5" width="8.5" customWidth="1"/>
    <col min="6" max="6" width="6" customWidth="1"/>
    <col min="7" max="7" width="6.5" customWidth="1"/>
    <col min="8" max="8" width="9.83203125" customWidth="1"/>
    <col min="9" max="9" width="8.6640625" customWidth="1"/>
    <col min="10" max="10" width="8.5" customWidth="1"/>
    <col min="11" max="11" width="13.33203125" customWidth="1"/>
  </cols>
  <sheetData>
    <row r="1" spans="1:11" ht="54" customHeight="1">
      <c r="A1" s="1897" t="s">
        <v>187</v>
      </c>
      <c r="B1" s="1898"/>
      <c r="C1" s="1898"/>
      <c r="D1" s="1898"/>
      <c r="E1" s="1898"/>
      <c r="F1" s="1898"/>
      <c r="G1" s="1898"/>
      <c r="H1" s="1898"/>
      <c r="I1" s="1898"/>
      <c r="J1" s="1898"/>
      <c r="K1" s="1899"/>
    </row>
    <row r="2" spans="1:11" ht="59.1" customHeight="1">
      <c r="A2" s="21" t="s">
        <v>100</v>
      </c>
      <c r="B2" s="20" t="s">
        <v>188</v>
      </c>
      <c r="C2" s="6" t="s">
        <v>189</v>
      </c>
      <c r="D2" s="20" t="s">
        <v>190</v>
      </c>
      <c r="E2" s="20" t="s">
        <v>191</v>
      </c>
      <c r="F2" s="20" t="s">
        <v>192</v>
      </c>
      <c r="G2" s="6" t="s">
        <v>193</v>
      </c>
      <c r="H2" s="20" t="s">
        <v>194</v>
      </c>
      <c r="I2" s="6" t="s">
        <v>195</v>
      </c>
      <c r="J2" s="20" t="s">
        <v>196</v>
      </c>
      <c r="K2" s="6" t="s">
        <v>197</v>
      </c>
    </row>
    <row r="3" spans="1:11" ht="8.25" customHeight="1">
      <c r="A3" s="23">
        <v>-1</v>
      </c>
      <c r="B3" s="23">
        <v>-2</v>
      </c>
      <c r="C3" s="23">
        <v>-3</v>
      </c>
      <c r="D3" s="23">
        <v>-4</v>
      </c>
      <c r="E3" s="23">
        <v>-5</v>
      </c>
      <c r="F3" s="30">
        <v>-6</v>
      </c>
      <c r="G3" s="30">
        <v>-7</v>
      </c>
      <c r="H3" s="23">
        <v>-8</v>
      </c>
      <c r="I3" s="23">
        <v>-9</v>
      </c>
      <c r="J3" s="30">
        <v>-10</v>
      </c>
      <c r="K3" s="23">
        <v>-11</v>
      </c>
    </row>
    <row r="4" spans="1:11" ht="18" customHeight="1">
      <c r="A4" s="4"/>
      <c r="B4" s="4"/>
      <c r="C4" s="4"/>
      <c r="D4" s="4"/>
      <c r="E4" s="4"/>
      <c r="F4" s="4"/>
      <c r="G4" s="4"/>
      <c r="H4" s="4"/>
      <c r="I4" s="4"/>
      <c r="J4" s="4"/>
      <c r="K4" s="4"/>
    </row>
    <row r="5" spans="1:11" ht="7.7" customHeight="1">
      <c r="A5" s="2"/>
      <c r="B5" s="2"/>
      <c r="C5" s="2"/>
      <c r="D5" s="2"/>
      <c r="E5" s="2"/>
      <c r="F5" s="2"/>
      <c r="G5" s="2"/>
      <c r="H5" s="2"/>
      <c r="I5" s="2"/>
      <c r="J5" s="2"/>
      <c r="K5" s="2"/>
    </row>
    <row r="6" spans="1:11" ht="7.7" customHeight="1">
      <c r="A6" s="2"/>
      <c r="B6" s="2"/>
      <c r="C6" s="2"/>
      <c r="D6" s="2"/>
      <c r="E6" s="2"/>
      <c r="F6" s="2"/>
      <c r="G6" s="2"/>
      <c r="H6" s="2"/>
      <c r="I6" s="2"/>
      <c r="J6" s="2"/>
      <c r="K6" s="2"/>
    </row>
    <row r="7" spans="1:11" ht="7.7" customHeight="1">
      <c r="A7" s="2"/>
      <c r="B7" s="2"/>
      <c r="C7" s="2"/>
      <c r="D7" s="2"/>
      <c r="E7" s="2"/>
      <c r="F7" s="2"/>
      <c r="G7" s="2"/>
      <c r="H7" s="2"/>
      <c r="I7" s="2"/>
      <c r="J7" s="2"/>
      <c r="K7" s="2"/>
    </row>
    <row r="8" spans="1:11" ht="7.7" customHeight="1">
      <c r="A8" s="2"/>
      <c r="B8" s="2"/>
      <c r="C8" s="2"/>
      <c r="D8" s="2"/>
      <c r="E8" s="2"/>
      <c r="F8" s="2"/>
      <c r="G8" s="2"/>
      <c r="H8" s="2"/>
      <c r="I8" s="2"/>
      <c r="J8" s="2"/>
      <c r="K8" s="2"/>
    </row>
    <row r="9" spans="1:11" ht="7.7" customHeight="1">
      <c r="A9" s="2"/>
      <c r="B9" s="2"/>
      <c r="C9" s="2"/>
      <c r="D9" s="2"/>
      <c r="E9" s="2"/>
      <c r="F9" s="2"/>
      <c r="G9" s="2"/>
      <c r="H9" s="2"/>
      <c r="I9" s="2"/>
      <c r="J9" s="2"/>
      <c r="K9" s="2"/>
    </row>
    <row r="10" spans="1:11" ht="7.7" customHeight="1">
      <c r="A10" s="2"/>
      <c r="B10" s="2"/>
      <c r="C10" s="2"/>
      <c r="D10" s="2"/>
      <c r="E10" s="2"/>
      <c r="F10" s="2"/>
      <c r="G10" s="2"/>
      <c r="H10" s="2"/>
      <c r="I10" s="2"/>
      <c r="J10" s="2"/>
      <c r="K10" s="2"/>
    </row>
    <row r="11" spans="1:11" ht="7.7" customHeight="1">
      <c r="A11" s="2"/>
      <c r="B11" s="2"/>
      <c r="C11" s="2"/>
      <c r="D11" s="2"/>
      <c r="E11" s="2"/>
      <c r="F11" s="2"/>
      <c r="G11" s="2"/>
      <c r="H11" s="2"/>
      <c r="I11" s="2"/>
      <c r="J11" s="2"/>
      <c r="K11" s="2"/>
    </row>
    <row r="12" spans="1:11" ht="7.7" customHeight="1">
      <c r="A12" s="2"/>
      <c r="B12" s="2"/>
      <c r="C12" s="2"/>
      <c r="D12" s="2"/>
      <c r="E12" s="2"/>
      <c r="F12" s="2"/>
      <c r="G12" s="2"/>
      <c r="H12" s="2"/>
      <c r="I12" s="2"/>
      <c r="J12" s="2"/>
      <c r="K12" s="2"/>
    </row>
    <row r="13" spans="1:11" ht="7.7" customHeight="1">
      <c r="A13" s="2"/>
      <c r="B13" s="2"/>
      <c r="C13" s="2"/>
      <c r="D13" s="2"/>
      <c r="E13" s="2"/>
      <c r="F13" s="2"/>
      <c r="G13" s="2"/>
      <c r="H13" s="2"/>
      <c r="I13" s="2"/>
      <c r="J13" s="2"/>
      <c r="K13" s="2"/>
    </row>
    <row r="14" spans="1:11" ht="7.7" customHeight="1">
      <c r="A14" s="2"/>
      <c r="B14" s="2"/>
      <c r="C14" s="2"/>
      <c r="D14" s="2"/>
      <c r="E14" s="2"/>
      <c r="F14" s="2"/>
      <c r="G14" s="2"/>
      <c r="H14" s="2"/>
      <c r="I14" s="2"/>
      <c r="J14" s="2"/>
      <c r="K14" s="2"/>
    </row>
    <row r="15" spans="1:11" ht="7.7" customHeight="1">
      <c r="A15" s="2"/>
      <c r="B15" s="2"/>
      <c r="C15" s="2"/>
      <c r="D15" s="2"/>
      <c r="E15" s="2"/>
      <c r="F15" s="2"/>
      <c r="G15" s="2"/>
      <c r="H15" s="2"/>
      <c r="I15" s="2"/>
      <c r="J15" s="2"/>
      <c r="K15" s="2"/>
    </row>
    <row r="16" spans="1:11" ht="7.7" customHeight="1">
      <c r="A16" s="2"/>
      <c r="B16" s="2"/>
      <c r="C16" s="2"/>
      <c r="D16" s="2"/>
      <c r="E16" s="2"/>
      <c r="F16" s="2"/>
      <c r="G16" s="2"/>
      <c r="H16" s="2"/>
      <c r="I16" s="2"/>
      <c r="J16" s="2"/>
      <c r="K16" s="2"/>
    </row>
    <row r="17" spans="1:11" ht="7.7" customHeight="1">
      <c r="A17" s="2"/>
      <c r="B17" s="2"/>
      <c r="C17" s="2"/>
      <c r="D17" s="2"/>
      <c r="E17" s="2"/>
      <c r="F17" s="2"/>
      <c r="G17" s="2"/>
      <c r="H17" s="2"/>
      <c r="I17" s="2"/>
      <c r="J17" s="2"/>
      <c r="K17" s="2"/>
    </row>
    <row r="18" spans="1:11" ht="7.7" customHeight="1">
      <c r="A18" s="2"/>
      <c r="B18" s="2"/>
      <c r="C18" s="2"/>
      <c r="D18" s="2"/>
      <c r="E18" s="2"/>
      <c r="F18" s="2"/>
      <c r="G18" s="2"/>
      <c r="H18" s="2"/>
      <c r="I18" s="2"/>
      <c r="J18" s="2"/>
      <c r="K18" s="2"/>
    </row>
    <row r="19" spans="1:11" ht="7.7" customHeight="1">
      <c r="A19" s="2"/>
      <c r="B19" s="2"/>
      <c r="C19" s="2"/>
      <c r="D19" s="2"/>
      <c r="E19" s="2"/>
      <c r="F19" s="2"/>
      <c r="G19" s="2"/>
      <c r="H19" s="2"/>
      <c r="I19" s="2"/>
      <c r="J19" s="2"/>
      <c r="K19" s="2"/>
    </row>
    <row r="20" spans="1:11" ht="7.7" customHeight="1">
      <c r="A20" s="2"/>
      <c r="B20" s="2"/>
      <c r="C20" s="2"/>
      <c r="D20" s="2"/>
      <c r="E20" s="2"/>
      <c r="F20" s="2"/>
      <c r="G20" s="2"/>
      <c r="H20" s="2"/>
      <c r="I20" s="2"/>
      <c r="J20" s="2"/>
      <c r="K20" s="2"/>
    </row>
    <row r="21" spans="1:11" ht="7.7" customHeight="1">
      <c r="A21" s="2"/>
      <c r="B21" s="2"/>
      <c r="C21" s="2"/>
      <c r="D21" s="2"/>
      <c r="E21" s="2"/>
      <c r="F21" s="2"/>
      <c r="G21" s="2"/>
      <c r="H21" s="2"/>
      <c r="I21" s="2"/>
      <c r="J21" s="2"/>
      <c r="K21" s="2"/>
    </row>
    <row r="22" spans="1:11" ht="7.7" customHeight="1">
      <c r="A22" s="2"/>
      <c r="B22" s="2"/>
      <c r="C22" s="2"/>
      <c r="D22" s="2"/>
      <c r="E22" s="2"/>
      <c r="F22" s="2"/>
      <c r="G22" s="2"/>
      <c r="H22" s="2"/>
      <c r="I22" s="2"/>
      <c r="J22" s="2"/>
      <c r="K22" s="2"/>
    </row>
    <row r="23" spans="1:11" ht="7.7" customHeight="1">
      <c r="A23" s="2"/>
      <c r="B23" s="2"/>
      <c r="C23" s="2"/>
      <c r="D23" s="2"/>
      <c r="E23" s="2"/>
      <c r="F23" s="2"/>
      <c r="G23" s="2"/>
      <c r="H23" s="2"/>
      <c r="I23" s="2"/>
      <c r="J23" s="2"/>
      <c r="K23" s="2"/>
    </row>
    <row r="24" spans="1:11" ht="7.7" customHeight="1">
      <c r="A24" s="2"/>
      <c r="B24" s="2"/>
      <c r="C24" s="2"/>
      <c r="D24" s="2"/>
      <c r="E24" s="2"/>
      <c r="F24" s="2"/>
      <c r="G24" s="2"/>
      <c r="H24" s="2"/>
      <c r="I24" s="2"/>
      <c r="J24" s="2"/>
      <c r="K24" s="2"/>
    </row>
    <row r="25" spans="1:11" ht="7.7" customHeight="1">
      <c r="A25" s="2"/>
      <c r="B25" s="2"/>
      <c r="C25" s="2"/>
      <c r="D25" s="2"/>
      <c r="E25" s="2"/>
      <c r="F25" s="2"/>
      <c r="G25" s="2"/>
      <c r="H25" s="2"/>
      <c r="I25" s="2"/>
      <c r="J25" s="2"/>
      <c r="K25" s="2"/>
    </row>
    <row r="26" spans="1:11" ht="7.7" customHeight="1">
      <c r="A26" s="2"/>
      <c r="B26" s="2"/>
      <c r="C26" s="2"/>
      <c r="D26" s="2"/>
      <c r="E26" s="2"/>
      <c r="F26" s="2"/>
      <c r="G26" s="2"/>
      <c r="H26" s="2"/>
      <c r="I26" s="2"/>
      <c r="J26" s="2"/>
      <c r="K26" s="2"/>
    </row>
    <row r="27" spans="1:11" ht="7.7" customHeight="1">
      <c r="A27" s="2"/>
      <c r="B27" s="2"/>
      <c r="C27" s="2"/>
      <c r="D27" s="2"/>
      <c r="E27" s="2"/>
      <c r="F27" s="2"/>
      <c r="G27" s="2"/>
      <c r="H27" s="2"/>
      <c r="I27" s="2"/>
      <c r="J27" s="2"/>
      <c r="K27" s="2"/>
    </row>
    <row r="28" spans="1:11" ht="7.7" customHeight="1">
      <c r="A28" s="2"/>
      <c r="B28" s="2"/>
      <c r="C28" s="2"/>
      <c r="D28" s="2"/>
      <c r="E28" s="2"/>
      <c r="F28" s="2"/>
      <c r="G28" s="2"/>
      <c r="H28" s="2"/>
      <c r="I28" s="2"/>
      <c r="J28" s="2"/>
      <c r="K28" s="2"/>
    </row>
    <row r="29" spans="1:11" ht="7.7" customHeight="1">
      <c r="A29" s="2"/>
      <c r="B29" s="2"/>
      <c r="C29" s="2"/>
      <c r="D29" s="2"/>
      <c r="E29" s="2"/>
      <c r="F29" s="2"/>
      <c r="G29" s="2"/>
      <c r="H29" s="2"/>
      <c r="I29" s="2"/>
      <c r="J29" s="2"/>
      <c r="K29" s="2"/>
    </row>
    <row r="30" spans="1:11" ht="7.7" customHeight="1">
      <c r="A30" s="2"/>
      <c r="B30" s="2"/>
      <c r="C30" s="2"/>
      <c r="D30" s="2"/>
      <c r="E30" s="2"/>
      <c r="F30" s="2"/>
      <c r="G30" s="2"/>
      <c r="H30" s="2"/>
      <c r="I30" s="2"/>
      <c r="J30" s="2"/>
      <c r="K30" s="2"/>
    </row>
    <row r="31" spans="1:11" ht="7.7" customHeight="1">
      <c r="A31" s="2"/>
      <c r="B31" s="2"/>
      <c r="C31" s="2"/>
      <c r="D31" s="2"/>
      <c r="E31" s="2"/>
      <c r="F31" s="2"/>
      <c r="G31" s="2"/>
      <c r="H31" s="2"/>
      <c r="I31" s="2"/>
      <c r="J31" s="2"/>
      <c r="K31" s="2"/>
    </row>
    <row r="32" spans="1:11" ht="7.7" customHeight="1">
      <c r="A32" s="2"/>
      <c r="B32" s="2"/>
      <c r="C32" s="2"/>
      <c r="D32" s="2"/>
      <c r="E32" s="2"/>
      <c r="F32" s="2"/>
      <c r="G32" s="2"/>
      <c r="H32" s="2"/>
      <c r="I32" s="2"/>
      <c r="J32" s="2"/>
      <c r="K32" s="2"/>
    </row>
    <row r="33" spans="1:11" ht="7.7" customHeight="1">
      <c r="A33" s="2"/>
      <c r="B33" s="2"/>
      <c r="C33" s="2"/>
      <c r="D33" s="2"/>
      <c r="E33" s="2"/>
      <c r="F33" s="2"/>
      <c r="G33" s="2"/>
      <c r="H33" s="2"/>
      <c r="I33" s="2"/>
      <c r="J33" s="2"/>
      <c r="K33" s="2"/>
    </row>
    <row r="34" spans="1:11" ht="7.7" customHeight="1">
      <c r="A34" s="2"/>
      <c r="B34" s="2"/>
      <c r="C34" s="2"/>
      <c r="D34" s="2"/>
      <c r="E34" s="2"/>
      <c r="F34" s="2"/>
      <c r="G34" s="2"/>
      <c r="H34" s="2"/>
      <c r="I34" s="2"/>
      <c r="J34" s="2"/>
      <c r="K34" s="2"/>
    </row>
    <row r="35" spans="1:11" ht="7.7" customHeight="1">
      <c r="A35" s="2"/>
      <c r="B35" s="2"/>
      <c r="C35" s="2"/>
      <c r="D35" s="2"/>
      <c r="E35" s="2"/>
      <c r="F35" s="2"/>
      <c r="G35" s="2"/>
      <c r="H35" s="2"/>
      <c r="I35" s="2"/>
      <c r="J35" s="2"/>
      <c r="K35" s="2"/>
    </row>
    <row r="36" spans="1:11" ht="7.7" customHeight="1">
      <c r="A36" s="2"/>
      <c r="B36" s="2"/>
      <c r="C36" s="2"/>
      <c r="D36" s="2"/>
      <c r="E36" s="2"/>
      <c r="F36" s="2"/>
      <c r="G36" s="2"/>
      <c r="H36" s="2"/>
      <c r="I36" s="2"/>
      <c r="J36" s="2"/>
      <c r="K36" s="2"/>
    </row>
    <row r="37" spans="1:11" ht="7.7" customHeight="1">
      <c r="A37" s="2"/>
      <c r="B37" s="2"/>
      <c r="C37" s="2"/>
      <c r="D37" s="2"/>
      <c r="E37" s="2"/>
      <c r="F37" s="2"/>
      <c r="G37" s="2"/>
      <c r="H37" s="2"/>
      <c r="I37" s="2"/>
      <c r="J37" s="2"/>
      <c r="K37" s="2"/>
    </row>
    <row r="38" spans="1:11" ht="7.7" customHeight="1">
      <c r="A38" s="2"/>
      <c r="B38" s="2"/>
      <c r="C38" s="2"/>
      <c r="D38" s="2"/>
      <c r="E38" s="2"/>
      <c r="F38" s="2"/>
      <c r="G38" s="2"/>
      <c r="H38" s="2"/>
      <c r="I38" s="2"/>
      <c r="J38" s="2"/>
      <c r="K38" s="2"/>
    </row>
    <row r="39" spans="1:11" ht="7.7" customHeight="1">
      <c r="A39" s="2"/>
      <c r="B39" s="2"/>
      <c r="C39" s="2"/>
      <c r="D39" s="2"/>
      <c r="E39" s="2"/>
      <c r="F39" s="2"/>
      <c r="G39" s="2"/>
      <c r="H39" s="2"/>
      <c r="I39" s="2"/>
      <c r="J39" s="2"/>
      <c r="K39" s="2"/>
    </row>
    <row r="40" spans="1:11" ht="7.7" customHeight="1">
      <c r="A40" s="2"/>
      <c r="B40" s="2"/>
      <c r="C40" s="2"/>
      <c r="D40" s="2"/>
      <c r="E40" s="2"/>
      <c r="F40" s="2"/>
      <c r="G40" s="2"/>
      <c r="H40" s="2"/>
      <c r="I40" s="2"/>
      <c r="J40" s="2"/>
      <c r="K40" s="2"/>
    </row>
    <row r="41" spans="1:11" ht="18" customHeight="1">
      <c r="A41" s="4"/>
      <c r="B41" s="4"/>
      <c r="C41" s="4"/>
      <c r="D41" s="4"/>
      <c r="E41" s="4"/>
      <c r="F41" s="4"/>
      <c r="G41" s="4"/>
      <c r="H41" s="4"/>
      <c r="I41" s="4"/>
      <c r="J41" s="4"/>
      <c r="K41" s="4"/>
    </row>
    <row r="42" spans="1:11" ht="7.7" customHeight="1">
      <c r="A42" s="2"/>
      <c r="B42" s="2"/>
      <c r="C42" s="2"/>
      <c r="D42" s="2"/>
      <c r="E42" s="2"/>
      <c r="F42" s="2"/>
      <c r="G42" s="2"/>
      <c r="H42" s="2"/>
      <c r="I42" s="2"/>
      <c r="J42" s="2"/>
      <c r="K42" s="2"/>
    </row>
    <row r="43" spans="1:11" ht="7.7" customHeight="1">
      <c r="A43" s="2"/>
      <c r="B43" s="2"/>
      <c r="C43" s="2"/>
      <c r="D43" s="2"/>
      <c r="E43" s="2"/>
      <c r="F43" s="2"/>
      <c r="G43" s="2"/>
      <c r="H43" s="2"/>
      <c r="I43" s="2"/>
      <c r="J43" s="2"/>
      <c r="K43" s="2"/>
    </row>
    <row r="44" spans="1:11" ht="7.7" customHeight="1">
      <c r="A44" s="2"/>
      <c r="B44" s="2"/>
      <c r="C44" s="2"/>
      <c r="D44" s="2"/>
      <c r="E44" s="2"/>
      <c r="F44" s="2"/>
      <c r="G44" s="2"/>
      <c r="H44" s="2"/>
      <c r="I44" s="2"/>
      <c r="J44" s="2"/>
      <c r="K44" s="2"/>
    </row>
    <row r="45" spans="1:11" ht="7.7" customHeight="1">
      <c r="A45" s="2"/>
      <c r="B45" s="2"/>
      <c r="C45" s="2"/>
      <c r="D45" s="2"/>
      <c r="E45" s="2"/>
      <c r="F45" s="2"/>
      <c r="G45" s="2"/>
      <c r="H45" s="2"/>
      <c r="I45" s="2"/>
      <c r="J45" s="2"/>
      <c r="K45" s="2"/>
    </row>
    <row r="46" spans="1:11" ht="7.7" customHeight="1">
      <c r="A46" s="2"/>
      <c r="B46" s="2"/>
      <c r="C46" s="2"/>
      <c r="D46" s="2"/>
      <c r="E46" s="2"/>
      <c r="F46" s="2"/>
      <c r="G46" s="2"/>
      <c r="H46" s="2"/>
      <c r="I46" s="2"/>
      <c r="J46" s="2"/>
      <c r="K46" s="2"/>
    </row>
    <row r="47" spans="1:11" ht="7.7" customHeight="1">
      <c r="A47" s="2"/>
      <c r="B47" s="2"/>
      <c r="C47" s="2"/>
      <c r="D47" s="2"/>
      <c r="E47" s="2"/>
      <c r="F47" s="2"/>
      <c r="G47" s="2"/>
      <c r="H47" s="2"/>
      <c r="I47" s="2"/>
      <c r="J47" s="2"/>
      <c r="K47" s="2"/>
    </row>
    <row r="48" spans="1:11" ht="7.7" customHeight="1">
      <c r="A48" s="2"/>
      <c r="B48" s="2"/>
      <c r="C48" s="2"/>
      <c r="D48" s="2"/>
      <c r="E48" s="2"/>
      <c r="F48" s="2"/>
      <c r="G48" s="2"/>
      <c r="H48" s="2"/>
      <c r="I48" s="2"/>
      <c r="J48" s="2"/>
      <c r="K48" s="2"/>
    </row>
    <row r="49" spans="1:11" ht="7.7" customHeight="1">
      <c r="A49" s="2"/>
      <c r="B49" s="2"/>
      <c r="C49" s="2"/>
      <c r="D49" s="2"/>
      <c r="E49" s="2"/>
      <c r="F49" s="2"/>
      <c r="G49" s="2"/>
      <c r="H49" s="2"/>
      <c r="I49" s="2"/>
      <c r="J49" s="2"/>
      <c r="K49" s="2"/>
    </row>
    <row r="50" spans="1:11" ht="7.7" customHeight="1">
      <c r="A50" s="2"/>
      <c r="B50" s="2"/>
      <c r="C50" s="2"/>
      <c r="D50" s="2"/>
      <c r="E50" s="2"/>
      <c r="F50" s="2"/>
      <c r="G50" s="2"/>
      <c r="H50" s="2"/>
      <c r="I50" s="2"/>
      <c r="J50" s="2"/>
      <c r="K50" s="2"/>
    </row>
    <row r="51" spans="1:11" ht="7.7" customHeight="1">
      <c r="A51" s="2"/>
      <c r="B51" s="2"/>
      <c r="C51" s="2"/>
      <c r="D51" s="2"/>
      <c r="E51" s="2"/>
      <c r="F51" s="2"/>
      <c r="G51" s="2"/>
      <c r="H51" s="2"/>
      <c r="I51" s="2"/>
      <c r="J51" s="2"/>
      <c r="K51" s="2"/>
    </row>
    <row r="52" spans="1:11" ht="7.7" customHeight="1">
      <c r="A52" s="2"/>
      <c r="B52" s="2"/>
      <c r="C52" s="2"/>
      <c r="D52" s="2"/>
      <c r="E52" s="2"/>
      <c r="F52" s="2"/>
      <c r="G52" s="2"/>
      <c r="H52" s="2"/>
      <c r="I52" s="2"/>
      <c r="J52" s="2"/>
      <c r="K52" s="2"/>
    </row>
    <row r="53" spans="1:11" ht="19.5" customHeight="1">
      <c r="A53" s="1897" t="s">
        <v>198</v>
      </c>
      <c r="B53" s="1898"/>
      <c r="C53" s="1898"/>
      <c r="D53" s="1898"/>
      <c r="E53" s="1898"/>
      <c r="F53" s="1898"/>
      <c r="G53" s="1898"/>
      <c r="H53" s="1898"/>
      <c r="I53" s="1898"/>
      <c r="J53" s="1898"/>
      <c r="K53" s="1899"/>
    </row>
    <row r="54" spans="1:11" ht="22.5" customHeight="1">
      <c r="A54" s="1897" t="s">
        <v>199</v>
      </c>
      <c r="B54" s="1898"/>
      <c r="C54" s="1898"/>
      <c r="D54" s="1898"/>
      <c r="E54" s="1898"/>
      <c r="F54" s="1898"/>
      <c r="G54" s="1898"/>
      <c r="H54" s="1898"/>
      <c r="I54" s="1898"/>
      <c r="J54" s="1898"/>
      <c r="K54" s="1899"/>
    </row>
    <row r="55" spans="1:11" ht="23.25" customHeight="1">
      <c r="A55" s="1932"/>
      <c r="B55" s="1933"/>
      <c r="C55" s="1933"/>
      <c r="D55" s="1933"/>
      <c r="E55" s="1933"/>
      <c r="F55" s="1933"/>
      <c r="G55" s="1933"/>
      <c r="H55" s="1933"/>
      <c r="I55" s="1934" t="s">
        <v>186</v>
      </c>
      <c r="J55" s="1934"/>
      <c r="K55" s="1935"/>
    </row>
  </sheetData>
  <mergeCells count="5">
    <mergeCell ref="A1:K1"/>
    <mergeCell ref="A53:K53"/>
    <mergeCell ref="A54:K54"/>
    <mergeCell ref="A55:H55"/>
    <mergeCell ref="I55:K5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pageSetUpPr fitToPage="1"/>
  </sheetPr>
  <dimension ref="A1:D50"/>
  <sheetViews>
    <sheetView workbookViewId="0">
      <selection activeCell="B34" sqref="B34"/>
    </sheetView>
  </sheetViews>
  <sheetFormatPr defaultColWidth="9.33203125" defaultRowHeight="12.75"/>
  <cols>
    <col min="1" max="1" width="15" style="533" customWidth="1"/>
    <col min="2" max="2" width="47.83203125" style="533" customWidth="1"/>
    <col min="3" max="3" width="14.5" style="533" customWidth="1"/>
    <col min="4" max="16384" width="9.33203125" style="533"/>
  </cols>
  <sheetData>
    <row r="1" spans="1:4" ht="30.2" customHeight="1">
      <c r="A1" s="530"/>
      <c r="B1" s="531"/>
      <c r="C1" s="532"/>
    </row>
    <row r="2" spans="1:4" ht="34.9" customHeight="1">
      <c r="A2" s="1717" t="s">
        <v>769</v>
      </c>
      <c r="B2" s="1718"/>
      <c r="C2" s="1719"/>
    </row>
    <row r="3" spans="1:4" ht="23.1" customHeight="1">
      <c r="A3" s="411" t="s">
        <v>770</v>
      </c>
      <c r="B3" s="410" t="s">
        <v>771</v>
      </c>
      <c r="C3" s="412" t="s">
        <v>772</v>
      </c>
    </row>
    <row r="4" spans="1:4" ht="23.1" customHeight="1">
      <c r="A4" s="411"/>
      <c r="B4" s="410"/>
      <c r="C4" s="412"/>
    </row>
    <row r="5" spans="1:4" ht="30" customHeight="1">
      <c r="A5" s="411" t="s">
        <v>1520</v>
      </c>
      <c r="B5" s="534" t="s">
        <v>1518</v>
      </c>
      <c r="C5" s="413" t="s">
        <v>773</v>
      </c>
    </row>
    <row r="6" spans="1:4" ht="27" customHeight="1">
      <c r="A6" s="411" t="s">
        <v>1521</v>
      </c>
      <c r="B6" s="534" t="s">
        <v>1519</v>
      </c>
      <c r="C6" s="413" t="s">
        <v>773</v>
      </c>
    </row>
    <row r="7" spans="1:4" ht="12.75" customHeight="1">
      <c r="A7" s="411" t="s">
        <v>1522</v>
      </c>
      <c r="B7" s="534" t="s">
        <v>1523</v>
      </c>
      <c r="C7" s="413" t="s">
        <v>773</v>
      </c>
    </row>
    <row r="8" spans="1:4" ht="12.75" customHeight="1">
      <c r="A8" s="411" t="s">
        <v>406</v>
      </c>
      <c r="B8" s="534" t="s">
        <v>403</v>
      </c>
      <c r="C8" s="413" t="s">
        <v>773</v>
      </c>
    </row>
    <row r="9" spans="1:4" ht="12.75" customHeight="1">
      <c r="A9" s="411" t="s">
        <v>774</v>
      </c>
      <c r="B9" s="534" t="s">
        <v>775</v>
      </c>
      <c r="C9" s="413" t="s">
        <v>773</v>
      </c>
    </row>
    <row r="10" spans="1:4" ht="29.25" customHeight="1">
      <c r="A10" s="411" t="s">
        <v>776</v>
      </c>
      <c r="B10" s="535" t="s">
        <v>777</v>
      </c>
      <c r="C10" s="413" t="s">
        <v>773</v>
      </c>
    </row>
    <row r="11" spans="1:4" ht="12.75" customHeight="1">
      <c r="A11" s="411" t="s">
        <v>778</v>
      </c>
      <c r="B11" s="534" t="s">
        <v>779</v>
      </c>
      <c r="C11" s="413" t="s">
        <v>780</v>
      </c>
    </row>
    <row r="12" spans="1:4" ht="28.5" customHeight="1">
      <c r="A12" s="411" t="s">
        <v>781</v>
      </c>
      <c r="B12" s="534" t="s">
        <v>782</v>
      </c>
      <c r="C12" s="413" t="s">
        <v>773</v>
      </c>
    </row>
    <row r="13" spans="1:4" ht="28.5" customHeight="1">
      <c r="A13" s="411" t="s">
        <v>783</v>
      </c>
      <c r="B13" s="534" t="s">
        <v>784</v>
      </c>
      <c r="C13" s="413" t="s">
        <v>780</v>
      </c>
    </row>
    <row r="14" spans="1:4" ht="27.75" customHeight="1">
      <c r="A14" s="411" t="s">
        <v>785</v>
      </c>
      <c r="B14" s="534" t="s">
        <v>786</v>
      </c>
      <c r="C14" s="413" t="s">
        <v>773</v>
      </c>
    </row>
    <row r="15" spans="1:4" ht="25.5" customHeight="1">
      <c r="A15" s="411" t="s">
        <v>787</v>
      </c>
      <c r="B15" s="534" t="s">
        <v>788</v>
      </c>
      <c r="C15" s="413" t="s">
        <v>780</v>
      </c>
      <c r="D15" s="536"/>
    </row>
    <row r="16" spans="1:4" ht="19.899999999999999" hidden="1" customHeight="1">
      <c r="A16" s="411" t="s">
        <v>789</v>
      </c>
      <c r="B16" s="534" t="s">
        <v>790</v>
      </c>
      <c r="C16" s="413"/>
    </row>
    <row r="17" spans="1:3" ht="15" customHeight="1">
      <c r="A17" s="411" t="s">
        <v>791</v>
      </c>
      <c r="B17" s="534" t="s">
        <v>792</v>
      </c>
      <c r="C17" s="413" t="s">
        <v>773</v>
      </c>
    </row>
    <row r="18" spans="1:3" ht="15" customHeight="1">
      <c r="A18" s="411" t="s">
        <v>793</v>
      </c>
      <c r="B18" s="534" t="s">
        <v>701</v>
      </c>
      <c r="C18" s="413" t="s">
        <v>773</v>
      </c>
    </row>
    <row r="19" spans="1:3" ht="24.75" customHeight="1">
      <c r="A19" s="411" t="s">
        <v>794</v>
      </c>
      <c r="B19" s="534" t="s">
        <v>795</v>
      </c>
      <c r="C19" s="413" t="s">
        <v>780</v>
      </c>
    </row>
    <row r="20" spans="1:3" ht="24.75" customHeight="1">
      <c r="A20" s="411" t="s">
        <v>504</v>
      </c>
      <c r="B20" s="534" t="s">
        <v>1517</v>
      </c>
      <c r="C20" s="413" t="s">
        <v>773</v>
      </c>
    </row>
    <row r="21" spans="1:3" ht="15" customHeight="1">
      <c r="A21" s="411" t="s">
        <v>408</v>
      </c>
      <c r="B21" s="534" t="s">
        <v>796</v>
      </c>
      <c r="C21" s="413" t="s">
        <v>773</v>
      </c>
    </row>
    <row r="22" spans="1:3" ht="12.75" customHeight="1">
      <c r="A22" s="411" t="s">
        <v>797</v>
      </c>
      <c r="B22" s="534" t="s">
        <v>721</v>
      </c>
      <c r="C22" s="413" t="s">
        <v>773</v>
      </c>
    </row>
    <row r="23" spans="1:3" ht="24.75" customHeight="1">
      <c r="A23" s="411" t="s">
        <v>767</v>
      </c>
      <c r="B23" s="534" t="s">
        <v>798</v>
      </c>
      <c r="C23" s="413" t="s">
        <v>773</v>
      </c>
    </row>
    <row r="24" spans="1:3" ht="15" customHeight="1">
      <c r="A24" s="411" t="s">
        <v>373</v>
      </c>
      <c r="B24" s="534" t="s">
        <v>832</v>
      </c>
      <c r="C24" s="413" t="s">
        <v>773</v>
      </c>
    </row>
    <row r="25" spans="1:3" ht="15" customHeight="1">
      <c r="A25" s="411" t="s">
        <v>834</v>
      </c>
      <c r="B25" s="537" t="str">
        <f>Form13B!B5</f>
        <v>Calculation of Interest on Normative Loan</v>
      </c>
      <c r="C25" s="413" t="s">
        <v>773</v>
      </c>
    </row>
    <row r="26" spans="1:3" ht="15.75" customHeight="1">
      <c r="A26" s="498" t="s">
        <v>752</v>
      </c>
      <c r="B26" s="538" t="s">
        <v>799</v>
      </c>
      <c r="C26" s="479" t="s">
        <v>773</v>
      </c>
    </row>
    <row r="27" spans="1:3" ht="26.25" customHeight="1">
      <c r="A27" s="498" t="s">
        <v>800</v>
      </c>
      <c r="B27" s="539" t="s">
        <v>1516</v>
      </c>
      <c r="C27" s="413" t="s">
        <v>773</v>
      </c>
    </row>
    <row r="28" spans="1:3" ht="25.5" customHeight="1">
      <c r="A28" s="411" t="s">
        <v>801</v>
      </c>
      <c r="B28" s="534" t="s">
        <v>802</v>
      </c>
      <c r="C28" s="413" t="s">
        <v>773</v>
      </c>
    </row>
    <row r="29" spans="1:3" ht="25.5" customHeight="1">
      <c r="A29" s="411" t="s">
        <v>803</v>
      </c>
      <c r="B29" s="534" t="s">
        <v>804</v>
      </c>
      <c r="C29" s="413" t="s">
        <v>780</v>
      </c>
    </row>
    <row r="30" spans="1:3" ht="25.5" customHeight="1">
      <c r="A30" s="499" t="s">
        <v>805</v>
      </c>
      <c r="B30" s="540" t="s">
        <v>806</v>
      </c>
      <c r="C30" s="480" t="s">
        <v>773</v>
      </c>
    </row>
    <row r="31" spans="1:3" ht="14.25" customHeight="1">
      <c r="A31" s="500" t="s">
        <v>267</v>
      </c>
      <c r="B31" s="529" t="s">
        <v>268</v>
      </c>
      <c r="C31" s="480" t="s">
        <v>773</v>
      </c>
    </row>
    <row r="32" spans="1:3" ht="30.75" customHeight="1">
      <c r="A32" s="500" t="s">
        <v>753</v>
      </c>
      <c r="B32" s="529" t="s">
        <v>807</v>
      </c>
      <c r="C32" s="413" t="s">
        <v>773</v>
      </c>
    </row>
    <row r="33" spans="1:3" ht="30.75" customHeight="1">
      <c r="A33" s="500" t="s">
        <v>817</v>
      </c>
      <c r="B33" s="529" t="s">
        <v>1514</v>
      </c>
      <c r="C33" s="413" t="s">
        <v>773</v>
      </c>
    </row>
    <row r="34" spans="1:3" ht="30.75" customHeight="1">
      <c r="A34" s="500" t="s">
        <v>819</v>
      </c>
      <c r="B34" s="529" t="s">
        <v>1515</v>
      </c>
      <c r="C34" s="413" t="s">
        <v>773</v>
      </c>
    </row>
    <row r="35" spans="1:3" ht="30.75" customHeight="1">
      <c r="A35" s="500" t="s">
        <v>1410</v>
      </c>
      <c r="B35" s="529" t="s">
        <v>1513</v>
      </c>
      <c r="C35" s="413" t="s">
        <v>773</v>
      </c>
    </row>
    <row r="36" spans="1:3" ht="21" hidden="1" customHeight="1">
      <c r="A36" s="1712" t="s">
        <v>808</v>
      </c>
      <c r="B36" s="1713"/>
      <c r="C36" s="413"/>
    </row>
    <row r="37" spans="1:3" ht="27" hidden="1" customHeight="1">
      <c r="A37" s="500" t="s">
        <v>375</v>
      </c>
      <c r="B37" s="501" t="s">
        <v>809</v>
      </c>
      <c r="C37" s="412" t="s">
        <v>772</v>
      </c>
    </row>
    <row r="38" spans="1:3" ht="69" hidden="1" customHeight="1">
      <c r="A38" s="502">
        <v>1</v>
      </c>
      <c r="B38" s="539" t="s">
        <v>899</v>
      </c>
      <c r="C38" s="481"/>
    </row>
    <row r="39" spans="1:3" ht="53.25" hidden="1" customHeight="1">
      <c r="A39" s="503">
        <v>2</v>
      </c>
      <c r="B39" s="540" t="s">
        <v>900</v>
      </c>
      <c r="C39" s="482"/>
    </row>
    <row r="40" spans="1:3" ht="12.75" hidden="1" customHeight="1">
      <c r="A40" s="504">
        <v>3</v>
      </c>
      <c r="B40" s="541" t="s">
        <v>810</v>
      </c>
      <c r="C40" s="482"/>
    </row>
    <row r="41" spans="1:3" ht="27" hidden="1" customHeight="1">
      <c r="A41" s="502">
        <v>4</v>
      </c>
      <c r="B41" s="539" t="s">
        <v>811</v>
      </c>
      <c r="C41" s="482"/>
    </row>
    <row r="42" spans="1:3" ht="29.25" hidden="1" customHeight="1">
      <c r="A42" s="505">
        <v>5</v>
      </c>
      <c r="B42" s="534" t="s">
        <v>812</v>
      </c>
      <c r="C42" s="482"/>
    </row>
    <row r="43" spans="1:3" ht="15.75" hidden="1" customHeight="1">
      <c r="A43" s="505">
        <v>7</v>
      </c>
      <c r="B43" s="534" t="s">
        <v>813</v>
      </c>
      <c r="C43" s="482"/>
    </row>
    <row r="44" spans="1:3" ht="26.25" hidden="1" customHeight="1">
      <c r="A44" s="503">
        <v>8</v>
      </c>
      <c r="B44" s="540" t="s">
        <v>814</v>
      </c>
      <c r="C44" s="483"/>
    </row>
    <row r="45" spans="1:3" ht="15" hidden="1" customHeight="1">
      <c r="A45" s="504">
        <v>9</v>
      </c>
      <c r="B45" s="529" t="s">
        <v>815</v>
      </c>
      <c r="C45" s="482"/>
    </row>
    <row r="46" spans="1:3" ht="26.25" customHeight="1" thickBot="1">
      <c r="A46" s="1714" t="s">
        <v>816</v>
      </c>
      <c r="B46" s="1715"/>
      <c r="C46" s="1716"/>
    </row>
    <row r="47" spans="1:3" ht="21.6" customHeight="1"/>
    <row r="48" spans="1:3" ht="12.75" customHeight="1"/>
    <row r="49" spans="1:1" ht="12.75" customHeight="1"/>
    <row r="50" spans="1:1" ht="9.9499999999999993" customHeight="1">
      <c r="A50" s="542"/>
    </row>
  </sheetData>
  <mergeCells count="3">
    <mergeCell ref="A36:B36"/>
    <mergeCell ref="A46:C46"/>
    <mergeCell ref="A2:C2"/>
  </mergeCells>
  <printOptions horizontalCentered="1"/>
  <pageMargins left="0.7" right="0.7" top="0.75" bottom="0.75" header="0.3" footer="0.3"/>
  <pageSetup scale="85" orientation="portrait" r:id="rId1"/>
</worksheet>
</file>

<file path=xl/worksheets/sheet20.xml><?xml version="1.0" encoding="utf-8"?>
<worksheet xmlns="http://schemas.openxmlformats.org/spreadsheetml/2006/main" xmlns:r="http://schemas.openxmlformats.org/officeDocument/2006/relationships">
  <dimension ref="A1:O51"/>
  <sheetViews>
    <sheetView workbookViewId="0"/>
  </sheetViews>
  <sheetFormatPr defaultRowHeight="12.75"/>
  <cols>
    <col min="1" max="1" width="7.1640625" customWidth="1"/>
    <col min="2" max="2" width="1.5" customWidth="1"/>
    <col min="3" max="3" width="1.33203125" customWidth="1"/>
    <col min="4" max="4" width="4.6640625" customWidth="1"/>
    <col min="5" max="5" width="8.1640625" customWidth="1"/>
    <col min="6" max="6" width="8.5" customWidth="1"/>
    <col min="7" max="8" width="11.83203125" customWidth="1"/>
    <col min="9" max="9" width="5.83203125" customWidth="1"/>
    <col min="10" max="10" width="6" customWidth="1"/>
    <col min="11" max="11" width="11.83203125" customWidth="1"/>
    <col min="12" max="12" width="10.1640625" customWidth="1"/>
    <col min="13" max="13" width="1.5" customWidth="1"/>
    <col min="14" max="14" width="13.1640625" customWidth="1"/>
    <col min="15" max="15" width="1.5" customWidth="1"/>
  </cols>
  <sheetData>
    <row r="1" spans="1:15" ht="12.75" customHeight="1">
      <c r="A1" s="7" t="s">
        <v>200</v>
      </c>
    </row>
    <row r="2" spans="1:15" ht="12.75" customHeight="1">
      <c r="A2" s="7" t="s">
        <v>0</v>
      </c>
    </row>
    <row r="3" spans="1:15" ht="12.75" customHeight="1">
      <c r="A3" s="7" t="s">
        <v>1</v>
      </c>
    </row>
    <row r="4" spans="1:15" ht="12.75" customHeight="1">
      <c r="A4" s="7" t="s">
        <v>201</v>
      </c>
    </row>
    <row r="5" spans="1:15" ht="0.95" customHeight="1"/>
    <row r="6" spans="1:15" ht="12.75" customHeight="1">
      <c r="A6" s="7" t="s">
        <v>202</v>
      </c>
    </row>
    <row r="7" spans="1:15" ht="12.75" customHeight="1">
      <c r="A7" s="31" t="s">
        <v>203</v>
      </c>
    </row>
    <row r="8" spans="1:15" ht="12.75" customHeight="1">
      <c r="A8" s="1936" t="s">
        <v>204</v>
      </c>
      <c r="B8" s="1937"/>
      <c r="C8" s="1937"/>
      <c r="D8" s="1937"/>
      <c r="E8" s="1937"/>
      <c r="F8" s="1938"/>
      <c r="G8" s="1" t="s">
        <v>205</v>
      </c>
      <c r="H8" s="1" t="s">
        <v>206</v>
      </c>
      <c r="I8" s="1939" t="s">
        <v>207</v>
      </c>
      <c r="J8" s="1940"/>
      <c r="K8" s="1" t="s">
        <v>208</v>
      </c>
      <c r="L8" s="1939" t="s">
        <v>209</v>
      </c>
      <c r="M8" s="1940"/>
      <c r="N8" s="1939" t="s">
        <v>210</v>
      </c>
      <c r="O8" s="1940"/>
    </row>
    <row r="9" spans="1:15" ht="12.75" customHeight="1">
      <c r="A9" s="1941">
        <v>1</v>
      </c>
      <c r="B9" s="1942"/>
      <c r="C9" s="1942"/>
      <c r="D9" s="1942"/>
      <c r="E9" s="1942"/>
      <c r="F9" s="1943"/>
      <c r="G9" s="5">
        <v>2</v>
      </c>
      <c r="H9" s="5">
        <v>3</v>
      </c>
      <c r="I9" s="1941">
        <v>4</v>
      </c>
      <c r="J9" s="1943"/>
      <c r="K9" s="5">
        <v>5</v>
      </c>
      <c r="L9" s="1941">
        <v>6</v>
      </c>
      <c r="M9" s="1943"/>
      <c r="N9" s="1941">
        <v>7</v>
      </c>
      <c r="O9" s="1943"/>
    </row>
    <row r="10" spans="1:15" ht="12.75" customHeight="1">
      <c r="A10" s="1897" t="s">
        <v>211</v>
      </c>
      <c r="B10" s="1898"/>
      <c r="C10" s="1898"/>
      <c r="D10" s="1898"/>
      <c r="E10" s="1898"/>
      <c r="F10" s="1899"/>
      <c r="G10" s="2"/>
      <c r="H10" s="2"/>
      <c r="I10" s="1916"/>
      <c r="J10" s="1917"/>
      <c r="K10" s="2"/>
      <c r="L10" s="1916"/>
      <c r="M10" s="1917"/>
      <c r="N10" s="1916"/>
      <c r="O10" s="1917"/>
    </row>
    <row r="11" spans="1:15" ht="12.75" customHeight="1">
      <c r="A11" s="1897" t="s">
        <v>212</v>
      </c>
      <c r="B11" s="1898"/>
      <c r="C11" s="1898"/>
      <c r="D11" s="1898"/>
      <c r="E11" s="1898"/>
      <c r="F11" s="1899"/>
      <c r="G11" s="2"/>
      <c r="H11" s="2"/>
      <c r="I11" s="1916"/>
      <c r="J11" s="1917"/>
      <c r="K11" s="2"/>
      <c r="L11" s="1916"/>
      <c r="M11" s="1917"/>
      <c r="N11" s="1916"/>
      <c r="O11" s="1917"/>
    </row>
    <row r="12" spans="1:15" ht="12.75" customHeight="1">
      <c r="A12" s="1944" t="s">
        <v>213</v>
      </c>
      <c r="B12" s="1945"/>
      <c r="C12" s="1945"/>
      <c r="D12" s="1945"/>
      <c r="E12" s="1945"/>
      <c r="F12" s="1946"/>
      <c r="G12" s="2"/>
      <c r="H12" s="2"/>
      <c r="I12" s="1916"/>
      <c r="J12" s="1917"/>
      <c r="K12" s="2"/>
      <c r="L12" s="1916"/>
      <c r="M12" s="1917"/>
      <c r="N12" s="1916"/>
      <c r="O12" s="1917"/>
    </row>
    <row r="13" spans="1:15" ht="25.5" customHeight="1">
      <c r="A13" s="1897" t="s">
        <v>214</v>
      </c>
      <c r="B13" s="1898"/>
      <c r="C13" s="1898"/>
      <c r="D13" s="1898"/>
      <c r="E13" s="1898"/>
      <c r="F13" s="1899"/>
      <c r="G13" s="4"/>
      <c r="H13" s="4"/>
      <c r="I13" s="1932"/>
      <c r="J13" s="1947"/>
      <c r="K13" s="4"/>
      <c r="L13" s="1932"/>
      <c r="M13" s="1947"/>
      <c r="N13" s="1932"/>
      <c r="O13" s="1947"/>
    </row>
    <row r="14" spans="1:15" ht="12.75" customHeight="1">
      <c r="A14" s="1897" t="s">
        <v>215</v>
      </c>
      <c r="B14" s="1898"/>
      <c r="C14" s="1898"/>
      <c r="D14" s="1898"/>
      <c r="E14" s="1898"/>
      <c r="F14" s="1899"/>
      <c r="G14" s="2"/>
      <c r="H14" s="2"/>
      <c r="I14" s="1916"/>
      <c r="J14" s="1917"/>
      <c r="K14" s="2"/>
      <c r="L14" s="1916"/>
      <c r="M14" s="1917"/>
      <c r="N14" s="1916"/>
      <c r="O14" s="1917"/>
    </row>
    <row r="15" spans="1:15" ht="12.75" customHeight="1">
      <c r="A15" s="1944" t="s">
        <v>216</v>
      </c>
      <c r="B15" s="1945"/>
      <c r="C15" s="1945"/>
      <c r="D15" s="1945"/>
      <c r="E15" s="1945"/>
      <c r="F15" s="1946"/>
      <c r="G15" s="2"/>
      <c r="H15" s="2"/>
      <c r="I15" s="1916"/>
      <c r="J15" s="1917"/>
      <c r="K15" s="2"/>
      <c r="L15" s="1916"/>
      <c r="M15" s="1917"/>
      <c r="N15" s="1916"/>
      <c r="O15" s="1917"/>
    </row>
    <row r="16" spans="1:15" ht="12.75" customHeight="1">
      <c r="A16" s="1897" t="s">
        <v>217</v>
      </c>
      <c r="B16" s="1898"/>
      <c r="C16" s="1898"/>
      <c r="D16" s="1898"/>
      <c r="E16" s="1898"/>
      <c r="F16" s="1899"/>
      <c r="G16" s="2"/>
      <c r="H16" s="2"/>
      <c r="I16" s="1916"/>
      <c r="J16" s="1917"/>
      <c r="K16" s="2"/>
      <c r="L16" s="1916"/>
      <c r="M16" s="1917"/>
      <c r="N16" s="1916"/>
      <c r="O16" s="1917"/>
    </row>
    <row r="17" spans="1:15" ht="12.75" customHeight="1">
      <c r="A17" s="1897" t="s">
        <v>218</v>
      </c>
      <c r="B17" s="1898"/>
      <c r="C17" s="1898"/>
      <c r="D17" s="1898"/>
      <c r="E17" s="1898"/>
      <c r="F17" s="1899"/>
      <c r="G17" s="2"/>
      <c r="H17" s="2"/>
      <c r="I17" s="1916"/>
      <c r="J17" s="1917"/>
      <c r="K17" s="2"/>
      <c r="L17" s="1916"/>
      <c r="M17" s="1917"/>
      <c r="N17" s="1916"/>
      <c r="O17" s="1917"/>
    </row>
    <row r="18" spans="1:15" ht="12.75" customHeight="1">
      <c r="A18" s="1897" t="s">
        <v>219</v>
      </c>
      <c r="B18" s="1898"/>
      <c r="C18" s="1898"/>
      <c r="D18" s="1898"/>
      <c r="E18" s="1898"/>
      <c r="F18" s="1899"/>
      <c r="G18" s="3" t="s">
        <v>220</v>
      </c>
      <c r="H18" s="3" t="s">
        <v>220</v>
      </c>
      <c r="I18" s="1944" t="s">
        <v>220</v>
      </c>
      <c r="J18" s="1946"/>
      <c r="K18" s="3" t="s">
        <v>220</v>
      </c>
      <c r="L18" s="1944" t="s">
        <v>220</v>
      </c>
      <c r="M18" s="1946"/>
      <c r="N18" s="1916"/>
      <c r="O18" s="1917"/>
    </row>
    <row r="19" spans="1:15" ht="12.75" customHeight="1">
      <c r="A19" s="1944" t="s">
        <v>221</v>
      </c>
      <c r="B19" s="1945"/>
      <c r="C19" s="1945"/>
      <c r="D19" s="1945"/>
      <c r="E19" s="1945"/>
      <c r="F19" s="1946"/>
      <c r="G19" s="2"/>
      <c r="H19" s="2"/>
      <c r="I19" s="1916"/>
      <c r="J19" s="1917"/>
      <c r="K19" s="2"/>
      <c r="L19" s="1916"/>
      <c r="M19" s="1917"/>
      <c r="N19" s="1916"/>
      <c r="O19" s="1917"/>
    </row>
    <row r="20" spans="1:15" ht="12.75" customHeight="1">
      <c r="A20" s="1897" t="s">
        <v>222</v>
      </c>
      <c r="B20" s="1898"/>
      <c r="C20" s="1898"/>
      <c r="D20" s="1898"/>
      <c r="E20" s="1898"/>
      <c r="F20" s="1899"/>
      <c r="G20" s="2"/>
      <c r="H20" s="2"/>
      <c r="I20" s="1916"/>
      <c r="J20" s="1917"/>
      <c r="K20" s="2"/>
      <c r="L20" s="1916"/>
      <c r="M20" s="1917"/>
      <c r="N20" s="1916"/>
      <c r="O20" s="1917"/>
    </row>
    <row r="21" spans="1:15" ht="12.75" customHeight="1">
      <c r="A21" s="1944" t="s">
        <v>223</v>
      </c>
      <c r="B21" s="1945"/>
      <c r="C21" s="1945"/>
      <c r="D21" s="1945"/>
      <c r="E21" s="1945"/>
      <c r="F21" s="1946"/>
      <c r="G21" s="2"/>
      <c r="H21" s="2"/>
      <c r="I21" s="1916"/>
      <c r="J21" s="1917"/>
      <c r="K21" s="2"/>
      <c r="L21" s="1916"/>
      <c r="M21" s="1917"/>
      <c r="N21" s="1916"/>
      <c r="O21" s="1917"/>
    </row>
    <row r="22" spans="1:15" ht="12.75" customHeight="1">
      <c r="A22" s="1897" t="s">
        <v>224</v>
      </c>
      <c r="B22" s="1898"/>
      <c r="C22" s="1898"/>
      <c r="D22" s="1898"/>
      <c r="E22" s="1898"/>
      <c r="F22" s="1899"/>
      <c r="G22" s="2"/>
      <c r="H22" s="2"/>
      <c r="I22" s="1916"/>
      <c r="J22" s="1917"/>
      <c r="K22" s="2"/>
      <c r="L22" s="1916"/>
      <c r="M22" s="1917"/>
      <c r="N22" s="1916"/>
      <c r="O22" s="1917"/>
    </row>
    <row r="23" spans="1:15" ht="12.75" customHeight="1">
      <c r="A23" s="1944" t="s">
        <v>225</v>
      </c>
      <c r="B23" s="1945"/>
      <c r="C23" s="1945"/>
      <c r="D23" s="1945"/>
      <c r="E23" s="1945"/>
      <c r="F23" s="1946"/>
      <c r="G23" s="2"/>
      <c r="H23" s="2"/>
      <c r="I23" s="1916"/>
      <c r="J23" s="1917"/>
      <c r="K23" s="2"/>
      <c r="L23" s="1916"/>
      <c r="M23" s="1917"/>
      <c r="N23" s="1916"/>
      <c r="O23" s="1917"/>
    </row>
    <row r="24" spans="1:15" ht="12.75" customHeight="1">
      <c r="A24" s="1897" t="s">
        <v>226</v>
      </c>
      <c r="B24" s="1898"/>
      <c r="C24" s="1898"/>
      <c r="D24" s="1898"/>
      <c r="E24" s="1898"/>
      <c r="F24" s="1899"/>
      <c r="G24" s="2"/>
      <c r="H24" s="2"/>
      <c r="I24" s="1916"/>
      <c r="J24" s="1917"/>
      <c r="K24" s="2"/>
      <c r="L24" s="1916"/>
      <c r="M24" s="1917"/>
      <c r="N24" s="1916"/>
      <c r="O24" s="1917"/>
    </row>
    <row r="25" spans="1:15" ht="12.75" customHeight="1">
      <c r="A25" s="1897" t="s">
        <v>227</v>
      </c>
      <c r="B25" s="1898"/>
      <c r="C25" s="1898"/>
      <c r="D25" s="1898"/>
      <c r="E25" s="1898"/>
      <c r="F25" s="1899"/>
      <c r="G25" s="2"/>
      <c r="H25" s="2"/>
      <c r="I25" s="1916"/>
      <c r="J25" s="1917"/>
      <c r="K25" s="2"/>
      <c r="L25" s="1916"/>
      <c r="M25" s="1917"/>
      <c r="N25" s="1916"/>
      <c r="O25" s="1917"/>
    </row>
    <row r="26" spans="1:15" ht="12.75" customHeight="1">
      <c r="A26" s="1897" t="s">
        <v>228</v>
      </c>
      <c r="B26" s="1898"/>
      <c r="C26" s="1898"/>
      <c r="D26" s="1898"/>
      <c r="E26" s="1898"/>
      <c r="F26" s="1899"/>
      <c r="G26" s="2"/>
      <c r="H26" s="2"/>
      <c r="I26" s="1916"/>
      <c r="J26" s="1917"/>
      <c r="K26" s="2"/>
      <c r="L26" s="1916"/>
      <c r="M26" s="1917"/>
      <c r="N26" s="1916"/>
      <c r="O26" s="1917"/>
    </row>
    <row r="27" spans="1:15" ht="11.25" customHeight="1">
      <c r="A27" s="1916"/>
      <c r="B27" s="1948"/>
      <c r="C27" s="1948"/>
      <c r="D27" s="1948"/>
      <c r="E27" s="1948"/>
      <c r="F27" s="1917"/>
      <c r="G27" s="2"/>
      <c r="H27" s="2"/>
      <c r="I27" s="1916"/>
      <c r="J27" s="1917"/>
      <c r="K27" s="2"/>
      <c r="L27" s="1916"/>
      <c r="M27" s="1917"/>
      <c r="N27" s="1916"/>
      <c r="O27" s="1917"/>
    </row>
    <row r="28" spans="1:15" ht="12.75" customHeight="1">
      <c r="A28" s="1916"/>
      <c r="B28" s="1948"/>
      <c r="C28" s="1948"/>
      <c r="D28" s="1948"/>
      <c r="E28" s="1948"/>
      <c r="F28" s="1917"/>
      <c r="G28" s="3" t="s">
        <v>229</v>
      </c>
      <c r="H28" s="3" t="s">
        <v>230</v>
      </c>
      <c r="I28" s="1944" t="s">
        <v>231</v>
      </c>
      <c r="J28" s="1946"/>
      <c r="K28" s="3" t="s">
        <v>232</v>
      </c>
      <c r="L28" s="1916"/>
      <c r="M28" s="1917"/>
      <c r="N28" s="1916"/>
      <c r="O28" s="1917"/>
    </row>
    <row r="29" spans="1:15" ht="12.75" customHeight="1">
      <c r="A29" s="1944" t="s">
        <v>233</v>
      </c>
      <c r="B29" s="1945"/>
      <c r="C29" s="1945"/>
      <c r="D29" s="1945"/>
      <c r="E29" s="1945"/>
      <c r="F29" s="1946"/>
      <c r="G29" s="2"/>
      <c r="H29" s="2"/>
      <c r="I29" s="1916"/>
      <c r="J29" s="1917"/>
      <c r="K29" s="2"/>
      <c r="L29" s="1916"/>
      <c r="M29" s="1917"/>
      <c r="N29" s="1944" t="s">
        <v>234</v>
      </c>
      <c r="O29" s="1946"/>
    </row>
    <row r="30" spans="1:15" ht="11.25" customHeight="1">
      <c r="A30" s="1916"/>
      <c r="B30" s="1948"/>
      <c r="C30" s="1948"/>
      <c r="D30" s="1948"/>
      <c r="E30" s="1948"/>
      <c r="F30" s="1917"/>
      <c r="G30" s="2"/>
      <c r="H30" s="2"/>
      <c r="I30" s="1916"/>
      <c r="J30" s="1917"/>
      <c r="K30" s="2"/>
      <c r="L30" s="1916"/>
      <c r="M30" s="1917"/>
      <c r="N30" s="1916"/>
      <c r="O30" s="1917"/>
    </row>
    <row r="31" spans="1:15" ht="12.75" customHeight="1">
      <c r="A31" s="1944" t="s">
        <v>235</v>
      </c>
      <c r="B31" s="1945"/>
      <c r="C31" s="1945"/>
      <c r="D31" s="1945"/>
      <c r="E31" s="1945"/>
      <c r="F31" s="1946"/>
      <c r="G31" s="2"/>
      <c r="H31" s="2"/>
      <c r="I31" s="1916"/>
      <c r="J31" s="1917"/>
      <c r="K31" s="2"/>
      <c r="L31" s="1916"/>
      <c r="M31" s="1917"/>
      <c r="N31" s="1916"/>
      <c r="O31" s="1917"/>
    </row>
    <row r="32" spans="1:15" ht="12.75" customHeight="1">
      <c r="A32" s="1944" t="s">
        <v>236</v>
      </c>
      <c r="B32" s="1945"/>
      <c r="C32" s="1945"/>
      <c r="D32" s="1945"/>
      <c r="E32" s="1945"/>
      <c r="F32" s="1946"/>
      <c r="G32" s="2"/>
      <c r="H32" s="2"/>
      <c r="I32" s="1916"/>
      <c r="J32" s="1917"/>
      <c r="K32" s="2"/>
      <c r="L32" s="1916"/>
      <c r="M32" s="1917"/>
      <c r="N32" s="1916"/>
      <c r="O32" s="1917"/>
    </row>
    <row r="33" spans="1:15" ht="12.75" customHeight="1">
      <c r="A33" s="1944" t="s">
        <v>237</v>
      </c>
      <c r="B33" s="1945"/>
      <c r="C33" s="1945"/>
      <c r="D33" s="1945"/>
      <c r="E33" s="1945"/>
      <c r="F33" s="1946"/>
      <c r="G33" s="2"/>
      <c r="H33" s="2"/>
      <c r="I33" s="1916"/>
      <c r="J33" s="1917"/>
      <c r="K33" s="2"/>
      <c r="L33" s="1916"/>
      <c r="M33" s="1917"/>
      <c r="N33" s="1916"/>
      <c r="O33" s="1917"/>
    </row>
    <row r="34" spans="1:15" ht="12.75" customHeight="1">
      <c r="A34" t="s">
        <v>238</v>
      </c>
    </row>
    <row r="35" spans="1:15" ht="12.75" customHeight="1">
      <c r="A35" t="s">
        <v>239</v>
      </c>
    </row>
    <row r="36" spans="1:15" ht="12.75" customHeight="1">
      <c r="A36" t="s">
        <v>240</v>
      </c>
    </row>
    <row r="37" spans="1:15" ht="12.75" customHeight="1">
      <c r="A37" t="s">
        <v>241</v>
      </c>
    </row>
    <row r="38" spans="1:15" ht="12.75" customHeight="1">
      <c r="A38" t="s">
        <v>242</v>
      </c>
    </row>
    <row r="39" spans="1:15" ht="12.75" customHeight="1">
      <c r="A39" t="s">
        <v>243</v>
      </c>
    </row>
    <row r="40" spans="1:15" ht="12.75" customHeight="1">
      <c r="A40" t="s">
        <v>244</v>
      </c>
    </row>
    <row r="41" spans="1:15" ht="12.75" customHeight="1">
      <c r="A41" t="s">
        <v>245</v>
      </c>
    </row>
    <row r="42" spans="1:15" ht="12.75" customHeight="1">
      <c r="A42" t="s">
        <v>246</v>
      </c>
    </row>
    <row r="43" spans="1:15" ht="12.75" customHeight="1">
      <c r="A43" t="s">
        <v>247</v>
      </c>
    </row>
    <row r="44" spans="1:15" ht="12.75" customHeight="1">
      <c r="A44" t="s">
        <v>248</v>
      </c>
    </row>
    <row r="45" spans="1:15" ht="12.75" customHeight="1">
      <c r="A45" t="s">
        <v>249</v>
      </c>
    </row>
    <row r="46" spans="1:15" ht="12.75" customHeight="1">
      <c r="A46" t="s">
        <v>250</v>
      </c>
    </row>
    <row r="47" spans="1:15" ht="12.75" customHeight="1">
      <c r="A47" t="s">
        <v>251</v>
      </c>
    </row>
    <row r="48" spans="1:15" ht="12.75" customHeight="1">
      <c r="A48" t="s">
        <v>252</v>
      </c>
    </row>
    <row r="49" spans="1:1" ht="12.75" customHeight="1">
      <c r="A49" t="s">
        <v>253</v>
      </c>
    </row>
    <row r="50" spans="1:1" ht="12.75" customHeight="1">
      <c r="A50" s="7" t="s">
        <v>254</v>
      </c>
    </row>
    <row r="51" spans="1:1" ht="9.9499999999999993" customHeight="1">
      <c r="A51" s="8" t="s">
        <v>2</v>
      </c>
    </row>
  </sheetData>
  <mergeCells count="104">
    <mergeCell ref="A32:F32"/>
    <mergeCell ref="I32:J32"/>
    <mergeCell ref="L32:M32"/>
    <mergeCell ref="N32:O32"/>
    <mergeCell ref="A33:F33"/>
    <mergeCell ref="I33:J33"/>
    <mergeCell ref="L33:M33"/>
    <mergeCell ref="N33:O33"/>
    <mergeCell ref="A29:F29"/>
    <mergeCell ref="I29:J29"/>
    <mergeCell ref="L29:M29"/>
    <mergeCell ref="N29:O29"/>
    <mergeCell ref="A30:F30"/>
    <mergeCell ref="I30:J30"/>
    <mergeCell ref="L30:M30"/>
    <mergeCell ref="N30:O30"/>
    <mergeCell ref="A31:F31"/>
    <mergeCell ref="I31:J31"/>
    <mergeCell ref="L31:M31"/>
    <mergeCell ref="N31:O31"/>
    <mergeCell ref="A26:F26"/>
    <mergeCell ref="I26:J26"/>
    <mergeCell ref="L26:M26"/>
    <mergeCell ref="N26:O26"/>
    <mergeCell ref="A27:F27"/>
    <mergeCell ref="I27:J27"/>
    <mergeCell ref="L27:M27"/>
    <mergeCell ref="N27:O27"/>
    <mergeCell ref="A28:F28"/>
    <mergeCell ref="I28:J28"/>
    <mergeCell ref="L28:M28"/>
    <mergeCell ref="N28:O28"/>
    <mergeCell ref="A23:F23"/>
    <mergeCell ref="I23:J23"/>
    <mergeCell ref="L23:M23"/>
    <mergeCell ref="N23:O23"/>
    <mergeCell ref="A24:F24"/>
    <mergeCell ref="I24:J24"/>
    <mergeCell ref="L24:M24"/>
    <mergeCell ref="N24:O24"/>
    <mergeCell ref="A25:F25"/>
    <mergeCell ref="I25:J25"/>
    <mergeCell ref="L25:M25"/>
    <mergeCell ref="N25:O25"/>
    <mergeCell ref="A20:F20"/>
    <mergeCell ref="I20:J20"/>
    <mergeCell ref="L20:M20"/>
    <mergeCell ref="N20:O20"/>
    <mergeCell ref="A21:F21"/>
    <mergeCell ref="I21:J21"/>
    <mergeCell ref="L21:M21"/>
    <mergeCell ref="N21:O21"/>
    <mergeCell ref="A22:F22"/>
    <mergeCell ref="I22:J22"/>
    <mergeCell ref="L22:M22"/>
    <mergeCell ref="N22:O22"/>
    <mergeCell ref="A17:F17"/>
    <mergeCell ref="I17:J17"/>
    <mergeCell ref="L17:M17"/>
    <mergeCell ref="N17:O17"/>
    <mergeCell ref="A18:F18"/>
    <mergeCell ref="I18:J18"/>
    <mergeCell ref="L18:M18"/>
    <mergeCell ref="N18:O18"/>
    <mergeCell ref="A19:F19"/>
    <mergeCell ref="I19:J19"/>
    <mergeCell ref="L19:M19"/>
    <mergeCell ref="N19:O19"/>
    <mergeCell ref="A14:F14"/>
    <mergeCell ref="I14:J14"/>
    <mergeCell ref="L14:M14"/>
    <mergeCell ref="N14:O14"/>
    <mergeCell ref="A15:F15"/>
    <mergeCell ref="I15:J15"/>
    <mergeCell ref="L15:M15"/>
    <mergeCell ref="N15:O15"/>
    <mergeCell ref="A16:F16"/>
    <mergeCell ref="I16:J16"/>
    <mergeCell ref="L16:M16"/>
    <mergeCell ref="N16:O16"/>
    <mergeCell ref="A11:F11"/>
    <mergeCell ref="I11:J11"/>
    <mergeCell ref="L11:M11"/>
    <mergeCell ref="N11:O11"/>
    <mergeCell ref="A12:F12"/>
    <mergeCell ref="I12:J12"/>
    <mergeCell ref="L12:M12"/>
    <mergeCell ref="N12:O12"/>
    <mergeCell ref="A13:F13"/>
    <mergeCell ref="I13:J13"/>
    <mergeCell ref="L13:M13"/>
    <mergeCell ref="N13:O13"/>
    <mergeCell ref="A8:F8"/>
    <mergeCell ref="I8:J8"/>
    <mergeCell ref="L8:M8"/>
    <mergeCell ref="N8:O8"/>
    <mergeCell ref="A9:F9"/>
    <mergeCell ref="I9:J9"/>
    <mergeCell ref="L9:M9"/>
    <mergeCell ref="N9:O9"/>
    <mergeCell ref="A10:F10"/>
    <mergeCell ref="I10:J10"/>
    <mergeCell ref="L10:M10"/>
    <mergeCell ref="N10:O1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tabColor theme="9" tint="-0.249977111117893"/>
  </sheetPr>
  <dimension ref="A1:K57"/>
  <sheetViews>
    <sheetView topLeftCell="A10" workbookViewId="0">
      <selection activeCell="I17" sqref="I17"/>
    </sheetView>
  </sheetViews>
  <sheetFormatPr defaultRowHeight="12.75"/>
  <cols>
    <col min="1" max="1" width="6.1640625" customWidth="1"/>
    <col min="2" max="2" width="33.5" customWidth="1"/>
    <col min="3" max="3" width="40.83203125" customWidth="1"/>
    <col min="4" max="4" width="28.5" customWidth="1"/>
    <col min="5" max="5" width="17" customWidth="1"/>
  </cols>
  <sheetData>
    <row r="1" spans="1:11" ht="16.5" customHeight="1">
      <c r="A1" s="213"/>
      <c r="B1" s="214"/>
      <c r="C1" s="215"/>
      <c r="D1" s="214"/>
      <c r="E1" s="216" t="s">
        <v>255</v>
      </c>
    </row>
    <row r="2" spans="1:11" ht="15.75" customHeight="1">
      <c r="A2" s="196"/>
      <c r="E2" s="217" t="s">
        <v>256</v>
      </c>
    </row>
    <row r="3" spans="1:11" ht="16.5" customHeight="1">
      <c r="A3" s="196"/>
      <c r="C3" s="32" t="s">
        <v>257</v>
      </c>
      <c r="E3" s="197"/>
    </row>
    <row r="4" spans="1:11" ht="16.5" customHeight="1">
      <c r="A4" s="196"/>
      <c r="C4" s="32"/>
      <c r="E4" s="197"/>
    </row>
    <row r="5" spans="1:11" ht="16.5" customHeight="1">
      <c r="A5" s="218" t="s">
        <v>269</v>
      </c>
      <c r="C5" s="211" t="str">
        <f>'Form 3'!D5</f>
        <v>The Singareni Collieries Company Ltd</v>
      </c>
      <c r="E5" s="197"/>
    </row>
    <row r="6" spans="1:11" ht="16.5" customHeight="1">
      <c r="A6" s="218" t="s">
        <v>270</v>
      </c>
      <c r="C6" s="211" t="str">
        <f>'Form 3'!D6</f>
        <v>Singareni Thermal Power Project</v>
      </c>
      <c r="E6" s="197"/>
    </row>
    <row r="7" spans="1:11" ht="16.5" customHeight="1">
      <c r="A7" s="218"/>
      <c r="E7" s="197"/>
    </row>
    <row r="8" spans="1:11" ht="16.5" customHeight="1">
      <c r="A8" s="219" t="s">
        <v>258</v>
      </c>
      <c r="E8" s="197"/>
    </row>
    <row r="9" spans="1:11" ht="87.75" customHeight="1">
      <c r="A9" s="220" t="s">
        <v>259</v>
      </c>
      <c r="B9" s="210" t="s">
        <v>507</v>
      </c>
      <c r="C9" s="210" t="s">
        <v>508</v>
      </c>
      <c r="D9" s="11" t="s">
        <v>260</v>
      </c>
      <c r="E9" s="221" t="s">
        <v>261</v>
      </c>
      <c r="K9" s="149" t="s">
        <v>344</v>
      </c>
    </row>
    <row r="10" spans="1:11" ht="33" customHeight="1">
      <c r="A10" s="220"/>
      <c r="B10" s="206">
        <v>1</v>
      </c>
      <c r="C10" s="206"/>
      <c r="D10" s="33">
        <v>3</v>
      </c>
      <c r="E10" s="222" t="s">
        <v>262</v>
      </c>
    </row>
    <row r="11" spans="1:11" ht="34.5" customHeight="1">
      <c r="A11" s="223"/>
      <c r="B11" s="209" t="s">
        <v>510</v>
      </c>
      <c r="C11" s="209" t="s">
        <v>509</v>
      </c>
      <c r="D11" s="2"/>
      <c r="E11" s="199"/>
    </row>
    <row r="12" spans="1:11" ht="16.5" customHeight="1">
      <c r="A12" s="223">
        <v>1</v>
      </c>
      <c r="B12" s="333" t="s">
        <v>677</v>
      </c>
      <c r="C12" s="346">
        <v>589514850.63</v>
      </c>
      <c r="D12" s="347">
        <v>0</v>
      </c>
      <c r="E12" s="348">
        <f>C12*D12</f>
        <v>0</v>
      </c>
    </row>
    <row r="13" spans="1:11" ht="16.5" customHeight="1">
      <c r="A13" s="223">
        <v>2</v>
      </c>
      <c r="B13" s="333" t="s">
        <v>678</v>
      </c>
      <c r="C13" s="346">
        <v>5107257999.6700001</v>
      </c>
      <c r="D13" s="349">
        <v>3.3399999999999999E-2</v>
      </c>
      <c r="E13" s="348">
        <f t="shared" ref="E13:E19" si="0">C13*D13</f>
        <v>170582417.18897799</v>
      </c>
    </row>
    <row r="14" spans="1:11" ht="16.5" customHeight="1">
      <c r="A14" s="223">
        <v>3</v>
      </c>
      <c r="B14" s="333" t="s">
        <v>679</v>
      </c>
      <c r="C14" s="346">
        <v>97147844.620000005</v>
      </c>
      <c r="D14" s="349">
        <v>3.3399999999999999E-2</v>
      </c>
      <c r="E14" s="348">
        <f t="shared" si="0"/>
        <v>3244738.0103080003</v>
      </c>
    </row>
    <row r="15" spans="1:11" ht="16.5" customHeight="1">
      <c r="A15" s="223">
        <v>4</v>
      </c>
      <c r="B15" s="333" t="s">
        <v>680</v>
      </c>
      <c r="C15" s="346">
        <v>405885546.38</v>
      </c>
      <c r="D15" s="349">
        <v>3.3399999999999999E-2</v>
      </c>
      <c r="E15" s="348">
        <f t="shared" si="0"/>
        <v>13556577.249092</v>
      </c>
    </row>
    <row r="16" spans="1:11" ht="16.5" customHeight="1">
      <c r="A16" s="223">
        <v>5</v>
      </c>
      <c r="B16" s="333" t="s">
        <v>681</v>
      </c>
      <c r="C16" s="346">
        <v>65537810677.639999</v>
      </c>
      <c r="D16" s="349">
        <v>5.28E-2</v>
      </c>
      <c r="E16" s="348">
        <f t="shared" si="0"/>
        <v>3460396403.7793918</v>
      </c>
    </row>
    <row r="17" spans="1:5" ht="16.5" customHeight="1">
      <c r="A17" s="223">
        <v>6</v>
      </c>
      <c r="B17" s="333" t="s">
        <v>682</v>
      </c>
      <c r="C17" s="346">
        <v>8316426.46</v>
      </c>
      <c r="D17" s="349">
        <v>6.3299999999999995E-2</v>
      </c>
      <c r="E17" s="348">
        <f t="shared" si="0"/>
        <v>526429.794918</v>
      </c>
    </row>
    <row r="18" spans="1:5" ht="16.5" customHeight="1">
      <c r="A18" s="223">
        <v>7</v>
      </c>
      <c r="B18" s="333" t="s">
        <v>683</v>
      </c>
      <c r="C18" s="346">
        <v>1470694.87</v>
      </c>
      <c r="D18" s="350">
        <v>0.15</v>
      </c>
      <c r="E18" s="348">
        <f t="shared" si="0"/>
        <v>220604.23050000001</v>
      </c>
    </row>
    <row r="19" spans="1:5" ht="16.5" customHeight="1">
      <c r="A19" s="223">
        <v>8</v>
      </c>
      <c r="B19" s="333" t="s">
        <v>684</v>
      </c>
      <c r="C19" s="346">
        <v>416725.14</v>
      </c>
      <c r="D19" s="349">
        <v>6.3299999999999995E-2</v>
      </c>
      <c r="E19" s="348">
        <f t="shared" si="0"/>
        <v>26378.701362</v>
      </c>
    </row>
    <row r="20" spans="1:5" ht="16.5" customHeight="1">
      <c r="A20" s="223"/>
      <c r="B20" s="212" t="s">
        <v>413</v>
      </c>
      <c r="C20" s="351">
        <f>SUM(C12:C19)</f>
        <v>71747820765.410004</v>
      </c>
      <c r="D20" s="349">
        <f>E20/C20</f>
        <v>5.0852465064883709E-2</v>
      </c>
      <c r="E20" s="348">
        <f>SUM(E12:E19)</f>
        <v>3648553548.9545503</v>
      </c>
    </row>
    <row r="21" spans="1:5" ht="16.5" customHeight="1">
      <c r="A21" s="223"/>
      <c r="B21" s="212" t="s">
        <v>455</v>
      </c>
      <c r="C21" s="203"/>
      <c r="D21" s="2"/>
      <c r="E21" s="199"/>
    </row>
    <row r="22" spans="1:5" ht="16.5" customHeight="1">
      <c r="A22" s="223"/>
      <c r="B22" s="209" t="s">
        <v>511</v>
      </c>
      <c r="D22" s="2"/>
      <c r="E22" s="199"/>
    </row>
    <row r="23" spans="1:5" ht="16.5" customHeight="1">
      <c r="A23" s="223"/>
      <c r="B23" s="344"/>
      <c r="C23" s="209" t="s">
        <v>512</v>
      </c>
      <c r="D23" s="2"/>
      <c r="E23" s="199"/>
    </row>
    <row r="24" spans="1:5" ht="16.5" customHeight="1">
      <c r="A24" s="223">
        <v>1</v>
      </c>
      <c r="B24" s="333" t="s">
        <v>677</v>
      </c>
      <c r="C24" s="336">
        <v>589514850.63</v>
      </c>
      <c r="D24" s="208">
        <v>0</v>
      </c>
      <c r="E24" s="337">
        <f>C24*D24</f>
        <v>0</v>
      </c>
    </row>
    <row r="25" spans="1:5" ht="16.5" customHeight="1">
      <c r="A25" s="223">
        <v>2</v>
      </c>
      <c r="B25" s="333" t="s">
        <v>678</v>
      </c>
      <c r="C25" s="336">
        <v>5107257999.6700001</v>
      </c>
      <c r="D25" s="334">
        <v>3.3399999999999999E-2</v>
      </c>
      <c r="E25" s="337">
        <f t="shared" ref="E25:E31" si="1">C25*D25</f>
        <v>170582417.18897799</v>
      </c>
    </row>
    <row r="26" spans="1:5" ht="16.5" customHeight="1">
      <c r="A26" s="223">
        <v>3</v>
      </c>
      <c r="B26" s="333" t="s">
        <v>679</v>
      </c>
      <c r="C26" s="336">
        <v>97147844.620000005</v>
      </c>
      <c r="D26" s="334">
        <v>3.3399999999999999E-2</v>
      </c>
      <c r="E26" s="337">
        <f t="shared" si="1"/>
        <v>3244738.0103080003</v>
      </c>
    </row>
    <row r="27" spans="1:5" ht="16.5" customHeight="1">
      <c r="A27" s="223">
        <v>4</v>
      </c>
      <c r="B27" s="333" t="s">
        <v>680</v>
      </c>
      <c r="C27" s="336">
        <v>405885546.38</v>
      </c>
      <c r="D27" s="334">
        <v>3.3399999999999999E-2</v>
      </c>
      <c r="E27" s="337">
        <f t="shared" si="1"/>
        <v>13556577.249092</v>
      </c>
    </row>
    <row r="28" spans="1:5" ht="16.5" customHeight="1">
      <c r="A28" s="223">
        <v>5</v>
      </c>
      <c r="B28" s="333" t="s">
        <v>681</v>
      </c>
      <c r="C28" s="336">
        <v>65537810677.639999</v>
      </c>
      <c r="D28" s="334">
        <v>5.28E-2</v>
      </c>
      <c r="E28" s="337">
        <f t="shared" si="1"/>
        <v>3460396403.7793918</v>
      </c>
    </row>
    <row r="29" spans="1:5" ht="16.5" customHeight="1">
      <c r="A29" s="223">
        <v>6</v>
      </c>
      <c r="B29" s="333" t="s">
        <v>682</v>
      </c>
      <c r="C29" s="336">
        <v>8316426.46</v>
      </c>
      <c r="D29" s="334">
        <v>6.3299999999999995E-2</v>
      </c>
      <c r="E29" s="337">
        <f t="shared" si="1"/>
        <v>526429.794918</v>
      </c>
    </row>
    <row r="30" spans="1:5" ht="16.5" customHeight="1">
      <c r="A30" s="223">
        <v>7</v>
      </c>
      <c r="B30" s="333" t="s">
        <v>683</v>
      </c>
      <c r="C30" s="336">
        <v>1470694.87</v>
      </c>
      <c r="D30" s="335">
        <v>0.15</v>
      </c>
      <c r="E30" s="337">
        <f t="shared" si="1"/>
        <v>220604.23050000001</v>
      </c>
    </row>
    <row r="31" spans="1:5" ht="16.5" customHeight="1">
      <c r="A31" s="223">
        <v>8</v>
      </c>
      <c r="B31" s="333" t="s">
        <v>684</v>
      </c>
      <c r="C31" s="336">
        <v>416725.14</v>
      </c>
      <c r="D31" s="334">
        <v>6.3299999999999995E-2</v>
      </c>
      <c r="E31" s="337">
        <f t="shared" si="1"/>
        <v>26378.701362</v>
      </c>
    </row>
    <row r="32" spans="1:5" ht="16.5" customHeight="1">
      <c r="A32" s="223"/>
      <c r="B32" s="212" t="s">
        <v>413</v>
      </c>
      <c r="C32" s="338">
        <f>SUM(C24:C31)</f>
        <v>71747820765.410004</v>
      </c>
      <c r="D32" s="334">
        <f>E32/C32</f>
        <v>5.0852465064883709E-2</v>
      </c>
      <c r="E32" s="337">
        <f>SUM(E24:E31)</f>
        <v>3648553548.9545503</v>
      </c>
    </row>
    <row r="33" spans="1:5" ht="16.5" customHeight="1">
      <c r="A33" s="223"/>
      <c r="B33" s="212"/>
      <c r="C33" s="338"/>
      <c r="D33" s="334"/>
      <c r="E33" s="337"/>
    </row>
    <row r="34" spans="1:5" ht="16.5" customHeight="1">
      <c r="A34" s="223"/>
      <c r="B34" s="212"/>
      <c r="C34" s="338"/>
      <c r="D34" s="334"/>
      <c r="E34" s="337"/>
    </row>
    <row r="35" spans="1:5" ht="16.5" customHeight="1">
      <c r="A35" s="223"/>
      <c r="B35" s="209"/>
      <c r="C35" s="209" t="s">
        <v>686</v>
      </c>
      <c r="D35" s="334"/>
      <c r="E35" s="337"/>
    </row>
    <row r="36" spans="1:5" ht="16.5" customHeight="1">
      <c r="A36" s="223"/>
      <c r="B36" s="212"/>
      <c r="C36" s="338"/>
      <c r="D36" s="334"/>
      <c r="E36" s="337"/>
    </row>
    <row r="37" spans="1:5" ht="16.5" customHeight="1">
      <c r="A37" s="223">
        <v>1</v>
      </c>
      <c r="B37" s="212" t="s">
        <v>677</v>
      </c>
      <c r="C37" s="338">
        <v>589514850.63</v>
      </c>
      <c r="D37" s="334">
        <v>0</v>
      </c>
      <c r="E37" s="337">
        <f>C37*D37</f>
        <v>0</v>
      </c>
    </row>
    <row r="38" spans="1:5" ht="16.5" customHeight="1">
      <c r="A38" s="223">
        <v>2</v>
      </c>
      <c r="B38" s="212" t="s">
        <v>678</v>
      </c>
      <c r="C38" s="338">
        <v>5480610650.6199999</v>
      </c>
      <c r="D38" s="334">
        <v>3.3399999999999999E-2</v>
      </c>
      <c r="E38" s="337">
        <f t="shared" ref="E38:E44" si="2">C38*D38</f>
        <v>183052395.730708</v>
      </c>
    </row>
    <row r="39" spans="1:5" ht="16.5" customHeight="1">
      <c r="A39" s="223">
        <v>3</v>
      </c>
      <c r="B39" s="212" t="s">
        <v>679</v>
      </c>
      <c r="C39" s="338">
        <v>97147844.620000005</v>
      </c>
      <c r="D39" s="334">
        <v>3.3399999999999999E-2</v>
      </c>
      <c r="E39" s="337">
        <f t="shared" si="2"/>
        <v>3244738.0103080003</v>
      </c>
    </row>
    <row r="40" spans="1:5" ht="16.5" customHeight="1">
      <c r="A40" s="223">
        <v>4</v>
      </c>
      <c r="B40" s="212" t="s">
        <v>680</v>
      </c>
      <c r="C40" s="338">
        <v>397783748.05000001</v>
      </c>
      <c r="D40" s="334">
        <v>3.3399999999999999E-2</v>
      </c>
      <c r="E40" s="337">
        <f t="shared" si="2"/>
        <v>13285977.184870001</v>
      </c>
    </row>
    <row r="41" spans="1:5" ht="16.5" customHeight="1">
      <c r="A41" s="223">
        <v>5</v>
      </c>
      <c r="B41" s="212" t="s">
        <v>681</v>
      </c>
      <c r="C41" s="338">
        <v>69278726044.479996</v>
      </c>
      <c r="D41" s="334">
        <v>5.28E-2</v>
      </c>
      <c r="E41" s="337">
        <f t="shared" si="2"/>
        <v>3657916735.1485438</v>
      </c>
    </row>
    <row r="42" spans="1:5" ht="16.5" customHeight="1">
      <c r="A42" s="223">
        <v>6</v>
      </c>
      <c r="B42" s="212" t="s">
        <v>682</v>
      </c>
      <c r="C42" s="338">
        <v>13847748.140000001</v>
      </c>
      <c r="D42" s="334">
        <v>6.3299999999999995E-2</v>
      </c>
      <c r="E42" s="337">
        <f t="shared" si="2"/>
        <v>876562.45726199995</v>
      </c>
    </row>
    <row r="43" spans="1:5" ht="16.5" customHeight="1">
      <c r="A43" s="223">
        <v>7</v>
      </c>
      <c r="B43" s="212" t="s">
        <v>683</v>
      </c>
      <c r="C43" s="338">
        <v>1470694.87</v>
      </c>
      <c r="D43" s="334">
        <v>0.15</v>
      </c>
      <c r="E43" s="337">
        <f t="shared" si="2"/>
        <v>220604.23050000001</v>
      </c>
    </row>
    <row r="44" spans="1:5" ht="16.5" customHeight="1">
      <c r="A44" s="223">
        <v>8</v>
      </c>
      <c r="B44" s="212" t="s">
        <v>684</v>
      </c>
      <c r="C44" s="338">
        <v>416725.14</v>
      </c>
      <c r="D44" s="334">
        <v>6.3299999999999995E-2</v>
      </c>
      <c r="E44" s="337">
        <f t="shared" si="2"/>
        <v>26378.701362</v>
      </c>
    </row>
    <row r="45" spans="1:5" ht="16.5" customHeight="1">
      <c r="A45" s="223"/>
      <c r="B45" s="212" t="s">
        <v>413</v>
      </c>
      <c r="C45" s="338">
        <f>SUM(C37:C44)</f>
        <v>75859518306.549988</v>
      </c>
      <c r="D45" s="334">
        <f>E45/C45</f>
        <v>5.0865382190680042E-2</v>
      </c>
      <c r="E45" s="337">
        <f>SUM(E37:E44)</f>
        <v>3858623391.4635544</v>
      </c>
    </row>
    <row r="46" spans="1:5" ht="16.5" customHeight="1">
      <c r="A46" s="223"/>
      <c r="B46" s="212"/>
      <c r="C46" s="338"/>
      <c r="D46" s="334"/>
      <c r="E46" s="337"/>
    </row>
    <row r="47" spans="1:5" ht="16.5" customHeight="1">
      <c r="A47" s="223"/>
      <c r="B47" s="1952" t="s">
        <v>688</v>
      </c>
      <c r="C47" s="1953"/>
      <c r="D47" s="334">
        <f>AVERAGE(D20,D32)</f>
        <v>5.0852465064883709E-2</v>
      </c>
      <c r="E47" s="337"/>
    </row>
    <row r="48" spans="1:5" ht="16.5" customHeight="1">
      <c r="A48" s="223"/>
      <c r="B48" s="1952" t="s">
        <v>687</v>
      </c>
      <c r="C48" s="1953"/>
      <c r="D48" s="345">
        <f>AVERAGE(D32,D45)</f>
        <v>5.0858923627781875E-2</v>
      </c>
      <c r="E48" s="337"/>
    </row>
    <row r="49" spans="1:5" ht="16.5" customHeight="1">
      <c r="A49" s="223"/>
      <c r="B49" s="212"/>
      <c r="C49" s="203"/>
      <c r="D49" s="2"/>
      <c r="E49" s="199"/>
    </row>
    <row r="50" spans="1:5" ht="16.5" customHeight="1">
      <c r="A50" s="198"/>
      <c r="B50" s="205"/>
      <c r="C50" s="205"/>
      <c r="D50" s="2"/>
      <c r="E50" s="199"/>
    </row>
    <row r="51" spans="1:5" ht="33" customHeight="1">
      <c r="A51" s="220"/>
      <c r="B51" s="204" t="s">
        <v>263</v>
      </c>
      <c r="C51" s="204"/>
      <c r="D51" s="4"/>
      <c r="E51" s="224"/>
    </row>
    <row r="52" spans="1:5" ht="44.25" customHeight="1">
      <c r="A52" s="1949" t="s">
        <v>264</v>
      </c>
      <c r="B52" s="1950"/>
      <c r="C52" s="1950"/>
      <c r="D52" s="1950"/>
      <c r="E52" s="1951"/>
    </row>
    <row r="53" spans="1:5" ht="16.5" customHeight="1">
      <c r="A53" s="196"/>
      <c r="E53" s="197"/>
    </row>
    <row r="54" spans="1:5" ht="12.95" customHeight="1">
      <c r="A54" s="225"/>
      <c r="E54" s="197"/>
    </row>
    <row r="55" spans="1:5">
      <c r="A55" s="196"/>
      <c r="E55" s="197"/>
    </row>
    <row r="56" spans="1:5" ht="14.25">
      <c r="A56" s="196"/>
      <c r="E56" s="226" t="s">
        <v>265</v>
      </c>
    </row>
    <row r="57" spans="1:5">
      <c r="A57" s="200"/>
      <c r="B57" s="201"/>
      <c r="C57" s="201"/>
      <c r="D57" s="201"/>
      <c r="E57" s="202"/>
    </row>
  </sheetData>
  <mergeCells count="3">
    <mergeCell ref="A52:E52"/>
    <mergeCell ref="B47:C47"/>
    <mergeCell ref="B48:C48"/>
  </mergeCells>
  <pageMargins left="0.7" right="0.7" top="0.75" bottom="0.75" header="0.3" footer="0.3"/>
  <pageSetup paperSize="9" orientation="portrait" horizontalDpi="4294967293" r:id="rId1"/>
</worksheet>
</file>

<file path=xl/worksheets/sheet22.xml><?xml version="1.0" encoding="utf-8"?>
<worksheet xmlns="http://schemas.openxmlformats.org/spreadsheetml/2006/main" xmlns:r="http://schemas.openxmlformats.org/officeDocument/2006/relationships">
  <sheetPr>
    <pageSetUpPr fitToPage="1"/>
  </sheetPr>
  <dimension ref="A1:AA126"/>
  <sheetViews>
    <sheetView topLeftCell="A32" zoomScale="115" zoomScaleNormal="115" workbookViewId="0">
      <selection activeCell="O37" sqref="O37"/>
    </sheetView>
  </sheetViews>
  <sheetFormatPr defaultColWidth="9.33203125" defaultRowHeight="15"/>
  <cols>
    <col min="1" max="1" width="9.1640625" style="158" customWidth="1"/>
    <col min="2" max="2" width="24" style="158" customWidth="1"/>
    <col min="3" max="3" width="14.1640625" style="158" customWidth="1"/>
    <col min="4" max="4" width="19" style="158" hidden="1" customWidth="1"/>
    <col min="5" max="5" width="15.33203125" style="158" hidden="1" customWidth="1"/>
    <col min="6" max="6" width="26.83203125" style="158" hidden="1" customWidth="1"/>
    <col min="7" max="8" width="15.33203125" style="158" hidden="1" customWidth="1"/>
    <col min="9" max="9" width="15.33203125" style="744" customWidth="1"/>
    <col min="10" max="10" width="15.33203125" style="158" hidden="1" customWidth="1"/>
    <col min="11" max="11" width="17" style="158" customWidth="1"/>
    <col min="12" max="12" width="15.83203125" style="158" customWidth="1"/>
    <col min="13" max="13" width="16.83203125" style="158" customWidth="1"/>
    <col min="14" max="16" width="16" style="158" customWidth="1"/>
    <col min="17" max="17" width="0" style="158" hidden="1" customWidth="1"/>
    <col min="18" max="16384" width="9.33203125" style="158"/>
  </cols>
  <sheetData>
    <row r="1" spans="1:27" ht="15.75" thickBot="1"/>
    <row r="2" spans="1:27" ht="15.75">
      <c r="A2" s="1074"/>
      <c r="B2" s="1075"/>
      <c r="C2" s="1075"/>
      <c r="D2" s="1075"/>
      <c r="E2" s="1075"/>
      <c r="F2" s="1075"/>
      <c r="G2" s="1075"/>
      <c r="H2" s="1076"/>
      <c r="I2" s="1077"/>
      <c r="J2" s="1075"/>
      <c r="K2" s="1075"/>
      <c r="L2" s="1075"/>
      <c r="M2" s="1075"/>
      <c r="N2" s="1075"/>
      <c r="O2" s="1028" t="s">
        <v>743</v>
      </c>
      <c r="P2" s="1078"/>
      <c r="Q2" s="1256"/>
    </row>
    <row r="3" spans="1:27" ht="15.75">
      <c r="A3" s="1079"/>
      <c r="B3" s="1080"/>
      <c r="C3" s="1080"/>
      <c r="D3" s="1080"/>
      <c r="E3" s="1080"/>
      <c r="F3" s="1080"/>
      <c r="G3" s="1080"/>
      <c r="H3" s="1360"/>
      <c r="I3" s="1081"/>
      <c r="J3" s="1080"/>
      <c r="K3" s="1080"/>
      <c r="L3" s="1080"/>
      <c r="M3" s="1080"/>
      <c r="N3" s="1080"/>
      <c r="O3" s="1071" t="s">
        <v>1431</v>
      </c>
      <c r="P3" s="1082"/>
      <c r="Q3" s="1257"/>
    </row>
    <row r="4" spans="1:27" ht="15.75">
      <c r="A4" s="1079"/>
      <c r="B4" s="1080"/>
      <c r="C4" s="1080"/>
      <c r="D4" s="1080"/>
      <c r="E4" s="1080"/>
      <c r="F4" s="1080"/>
      <c r="G4" s="1080"/>
      <c r="H4" s="1083"/>
      <c r="I4" s="1081"/>
      <c r="J4" s="1360"/>
      <c r="K4" s="1080"/>
      <c r="L4" s="1080"/>
      <c r="M4" s="1080"/>
      <c r="N4" s="1080"/>
      <c r="O4" s="1080"/>
      <c r="P4" s="1082"/>
      <c r="Q4" s="1257"/>
    </row>
    <row r="5" spans="1:27" ht="20.25" customHeight="1">
      <c r="A5" s="1824" t="s">
        <v>721</v>
      </c>
      <c r="B5" s="1825"/>
      <c r="C5" s="1825"/>
      <c r="D5" s="1825"/>
      <c r="E5" s="1825"/>
      <c r="F5" s="1825"/>
      <c r="G5" s="1825"/>
      <c r="H5" s="1825"/>
      <c r="I5" s="1825"/>
      <c r="J5" s="1825"/>
      <c r="K5" s="1825"/>
      <c r="L5" s="1825"/>
      <c r="M5" s="1825"/>
      <c r="N5" s="1825"/>
      <c r="O5" s="1825"/>
      <c r="P5" s="1828"/>
      <c r="Q5" s="1257"/>
    </row>
    <row r="6" spans="1:27" ht="15.75">
      <c r="A6" s="1361"/>
      <c r="B6" s="1084"/>
      <c r="C6" s="1084"/>
      <c r="D6" s="1084"/>
      <c r="E6" s="1084"/>
      <c r="F6" s="1084"/>
      <c r="G6" s="1084"/>
      <c r="H6" s="1084"/>
      <c r="I6" s="1085"/>
      <c r="J6" s="1084"/>
      <c r="K6" s="1080"/>
      <c r="L6" s="1080"/>
      <c r="M6" s="1080"/>
      <c r="N6" s="1080"/>
      <c r="O6" s="1080"/>
      <c r="P6" s="1082"/>
      <c r="Q6" s="1257"/>
    </row>
    <row r="7" spans="1:27" ht="28.15" customHeight="1">
      <c r="A7" s="1966" t="s">
        <v>445</v>
      </c>
      <c r="B7" s="1967"/>
      <c r="C7" s="1954" t="s">
        <v>417</v>
      </c>
      <c r="D7" s="1954"/>
      <c r="E7" s="1954"/>
      <c r="F7" s="1954"/>
      <c r="G7" s="1954"/>
      <c r="H7" s="1954"/>
      <c r="I7" s="1954"/>
      <c r="J7" s="1954"/>
      <c r="K7" s="1954"/>
      <c r="L7" s="1954"/>
      <c r="M7" s="1954"/>
      <c r="N7" s="1954"/>
      <c r="O7" s="1954"/>
      <c r="P7" s="1955"/>
      <c r="Q7" s="1257"/>
    </row>
    <row r="8" spans="1:27" ht="16.899999999999999" customHeight="1">
      <c r="A8" s="1966" t="s">
        <v>446</v>
      </c>
      <c r="B8" s="1967"/>
      <c r="C8" s="1086" t="s">
        <v>415</v>
      </c>
      <c r="D8" s="1086"/>
      <c r="E8" s="1086"/>
      <c r="F8" s="1086"/>
      <c r="G8" s="1086"/>
      <c r="H8" s="1086"/>
      <c r="I8" s="1087"/>
      <c r="J8" s="1086"/>
      <c r="K8" s="1080"/>
      <c r="L8" s="1080"/>
      <c r="M8" s="1080"/>
      <c r="N8" s="1080"/>
      <c r="O8" s="1080"/>
      <c r="P8" s="1082"/>
      <c r="Q8" s="1257"/>
    </row>
    <row r="9" spans="1:27" ht="28.5" customHeight="1">
      <c r="A9" s="1367"/>
      <c r="B9" s="1368"/>
      <c r="C9" s="1368"/>
      <c r="D9" s="1365"/>
      <c r="E9" s="1365"/>
      <c r="F9" s="1365"/>
      <c r="G9" s="1365"/>
      <c r="H9" s="1365"/>
      <c r="I9" s="1088"/>
      <c r="J9" s="1080"/>
      <c r="K9" s="1080"/>
      <c r="L9" s="1080"/>
      <c r="M9" s="1080"/>
      <c r="N9" s="1080"/>
      <c r="O9" s="1964" t="s">
        <v>840</v>
      </c>
      <c r="P9" s="1965"/>
      <c r="Q9" s="1257"/>
    </row>
    <row r="10" spans="1:27" ht="31.15" customHeight="1">
      <c r="A10" s="1827" t="s">
        <v>375</v>
      </c>
      <c r="B10" s="1782" t="s">
        <v>447</v>
      </c>
      <c r="C10" s="1957" t="s">
        <v>722</v>
      </c>
      <c r="D10" s="1957" t="s">
        <v>694</v>
      </c>
      <c r="E10" s="1957" t="s">
        <v>711</v>
      </c>
      <c r="F10" s="1960" t="s">
        <v>718</v>
      </c>
      <c r="G10" s="1957" t="s">
        <v>712</v>
      </c>
      <c r="H10" s="1960" t="s">
        <v>719</v>
      </c>
      <c r="I10" s="1957" t="s">
        <v>717</v>
      </c>
      <c r="J10" s="1962" t="s">
        <v>720</v>
      </c>
      <c r="K10" s="1959" t="s">
        <v>873</v>
      </c>
      <c r="L10" s="1963" t="s">
        <v>995</v>
      </c>
      <c r="M10" s="1959" t="s">
        <v>874</v>
      </c>
      <c r="N10" s="1963" t="s">
        <v>996</v>
      </c>
      <c r="O10" s="1959" t="s">
        <v>875</v>
      </c>
      <c r="P10" s="1956" t="s">
        <v>997</v>
      </c>
      <c r="Q10" s="1257"/>
    </row>
    <row r="11" spans="1:27" ht="42" customHeight="1">
      <c r="A11" s="1827"/>
      <c r="B11" s="1782"/>
      <c r="C11" s="1958"/>
      <c r="D11" s="1958"/>
      <c r="E11" s="1958"/>
      <c r="F11" s="1961"/>
      <c r="G11" s="1958"/>
      <c r="H11" s="1961"/>
      <c r="I11" s="1958"/>
      <c r="J11" s="1962"/>
      <c r="K11" s="1959"/>
      <c r="L11" s="1963"/>
      <c r="M11" s="1959"/>
      <c r="N11" s="1963"/>
      <c r="O11" s="1959"/>
      <c r="P11" s="1956"/>
      <c r="Q11" s="1257"/>
      <c r="Z11" s="158" t="s">
        <v>679</v>
      </c>
      <c r="AA11" s="370">
        <v>3.3399999999999999E-2</v>
      </c>
    </row>
    <row r="12" spans="1:27" ht="60" hidden="1">
      <c r="A12" s="1089">
        <v>-1</v>
      </c>
      <c r="B12" s="1090">
        <v>-2</v>
      </c>
      <c r="C12" s="1091"/>
      <c r="D12" s="1091">
        <v>-8</v>
      </c>
      <c r="E12" s="1091"/>
      <c r="F12" s="1092"/>
      <c r="G12" s="1092"/>
      <c r="H12" s="1092"/>
      <c r="I12" s="1092"/>
      <c r="J12" s="1092"/>
      <c r="K12" s="1093"/>
      <c r="L12" s="1093"/>
      <c r="M12" s="1093"/>
      <c r="N12" s="1093"/>
      <c r="O12" s="1093"/>
      <c r="P12" s="1477"/>
      <c r="Q12" s="1257"/>
      <c r="Z12" s="158" t="s">
        <v>680</v>
      </c>
      <c r="AA12" s="370">
        <v>3.3399999999999999E-2</v>
      </c>
    </row>
    <row r="13" spans="1:27" ht="60" hidden="1">
      <c r="A13" s="1079"/>
      <c r="B13" s="1094"/>
      <c r="C13" s="1096"/>
      <c r="D13" s="1096"/>
      <c r="E13" s="1097"/>
      <c r="F13" s="1097"/>
      <c r="G13" s="1097"/>
      <c r="H13" s="1097"/>
      <c r="I13" s="1097"/>
      <c r="J13" s="1097"/>
      <c r="K13" s="1093"/>
      <c r="L13" s="1093"/>
      <c r="M13" s="1093"/>
      <c r="N13" s="1093"/>
      <c r="O13" s="1093"/>
      <c r="P13" s="1477"/>
      <c r="Q13" s="1257"/>
      <c r="Z13" s="158" t="s">
        <v>723</v>
      </c>
      <c r="AA13" s="370">
        <v>6.3299999999999995E-2</v>
      </c>
    </row>
    <row r="14" spans="1:27" ht="60">
      <c r="A14" s="1371">
        <v>1</v>
      </c>
      <c r="B14" s="1098" t="s">
        <v>450</v>
      </c>
      <c r="C14" s="1099">
        <v>5.28E-2</v>
      </c>
      <c r="D14" s="1364">
        <v>4781.54</v>
      </c>
      <c r="E14" s="1100">
        <v>4772.1400000000003</v>
      </c>
      <c r="F14" s="1366">
        <f t="shared" ref="F14:F35" si="0">AVERAGE(D14,E14)*C14</f>
        <v>252.217152</v>
      </c>
      <c r="G14" s="1100">
        <v>4772.1400000000003</v>
      </c>
      <c r="H14" s="1366">
        <f t="shared" ref="H14:H35" si="1">AVERAGE(E14,G14)*C14</f>
        <v>251.96899200000001</v>
      </c>
      <c r="I14" s="1101">
        <v>4849.4799999999996</v>
      </c>
      <c r="J14" s="1101">
        <f t="shared" ref="J14:J35" si="2">AVERAGE(G14,I14)*C14</f>
        <v>254.01076799999998</v>
      </c>
      <c r="K14" s="1102">
        <f t="shared" ref="K14:K35" si="3">I14+M103</f>
        <v>4906.2357478000004</v>
      </c>
      <c r="L14" s="1102">
        <f>AVERAGE(I14,K14)*C14</f>
        <v>257.55089574192004</v>
      </c>
      <c r="M14" s="1102">
        <f t="shared" ref="M14:M35" si="4">K14+N103</f>
        <v>4920.0657478000003</v>
      </c>
      <c r="N14" s="1103">
        <f>AVERAGE(K14,M14)*$C14</f>
        <v>259.41435948384003</v>
      </c>
      <c r="O14" s="1102">
        <f t="shared" ref="O14:O35" si="5">M14+O103</f>
        <v>4930.1128845999992</v>
      </c>
      <c r="P14" s="1478">
        <f>AVERAGE(M14,O14)*$C14</f>
        <v>260.04471589535996</v>
      </c>
      <c r="Q14" s="1257"/>
      <c r="Z14" s="158" t="s">
        <v>724</v>
      </c>
      <c r="AA14" s="370">
        <v>0.15</v>
      </c>
    </row>
    <row r="15" spans="1:27" ht="30">
      <c r="A15" s="1371">
        <v>2</v>
      </c>
      <c r="B15" s="1105" t="s">
        <v>459</v>
      </c>
      <c r="C15" s="1099">
        <v>5.28E-2</v>
      </c>
      <c r="D15" s="1364">
        <v>864.96</v>
      </c>
      <c r="E15" s="1100">
        <v>877.1</v>
      </c>
      <c r="F15" s="1366">
        <f t="shared" si="0"/>
        <v>45.990383999999999</v>
      </c>
      <c r="G15" s="1100">
        <v>977.42</v>
      </c>
      <c r="H15" s="1366">
        <f t="shared" si="1"/>
        <v>48.959327999999999</v>
      </c>
      <c r="I15" s="1101">
        <v>1007.26</v>
      </c>
      <c r="J15" s="1101">
        <f t="shared" si="2"/>
        <v>52.395551999999995</v>
      </c>
      <c r="K15" s="1102">
        <f t="shared" si="3"/>
        <v>1010.1850059999999</v>
      </c>
      <c r="L15" s="1102">
        <f t="shared" ref="L15:L35" si="6">AVERAGE(I15,K15)*C15</f>
        <v>53.260548158399999</v>
      </c>
      <c r="M15" s="1102">
        <f t="shared" si="4"/>
        <v>1010.4250059999999</v>
      </c>
      <c r="N15" s="1103">
        <f t="shared" ref="N15:P35" si="7">AVERAGE(K15,M15)*$C15</f>
        <v>53.344104316799999</v>
      </c>
      <c r="O15" s="1102">
        <f t="shared" si="5"/>
        <v>1011.4450059999999</v>
      </c>
      <c r="P15" s="1478">
        <f t="shared" si="7"/>
        <v>53.377368316799995</v>
      </c>
      <c r="Q15" s="1257"/>
      <c r="Z15" s="158" t="s">
        <v>725</v>
      </c>
      <c r="AA15" s="370">
        <v>0</v>
      </c>
    </row>
    <row r="16" spans="1:27" ht="60">
      <c r="A16" s="1371">
        <v>3</v>
      </c>
      <c r="B16" s="1106" t="s">
        <v>467</v>
      </c>
      <c r="C16" s="1107">
        <v>0</v>
      </c>
      <c r="D16" s="1108">
        <v>40.36</v>
      </c>
      <c r="E16" s="1109">
        <v>39.71</v>
      </c>
      <c r="F16" s="1366">
        <f t="shared" si="0"/>
        <v>0</v>
      </c>
      <c r="G16" s="1109">
        <v>39.869999999999997</v>
      </c>
      <c r="H16" s="1366">
        <f t="shared" si="1"/>
        <v>0</v>
      </c>
      <c r="I16" s="1101">
        <v>53.06</v>
      </c>
      <c r="J16" s="1101">
        <f t="shared" si="2"/>
        <v>0</v>
      </c>
      <c r="K16" s="1102">
        <f t="shared" si="3"/>
        <v>53.06</v>
      </c>
      <c r="L16" s="1102">
        <f t="shared" si="6"/>
        <v>0</v>
      </c>
      <c r="M16" s="1102">
        <f t="shared" si="4"/>
        <v>53.06</v>
      </c>
      <c r="N16" s="1103">
        <f t="shared" si="7"/>
        <v>0</v>
      </c>
      <c r="O16" s="1102">
        <f t="shared" si="5"/>
        <v>53.06</v>
      </c>
      <c r="P16" s="1478">
        <f t="shared" si="7"/>
        <v>0</v>
      </c>
      <c r="Q16" s="1257"/>
      <c r="Z16" s="158" t="s">
        <v>682</v>
      </c>
      <c r="AA16" s="370">
        <v>6.3299999999999995E-2</v>
      </c>
    </row>
    <row r="17" spans="1:27" ht="45">
      <c r="A17" s="1371">
        <v>4</v>
      </c>
      <c r="B17" s="1106" t="s">
        <v>468</v>
      </c>
      <c r="C17" s="1107">
        <v>5.28E-2</v>
      </c>
      <c r="D17" s="1108">
        <v>0.02</v>
      </c>
      <c r="E17" s="1109">
        <v>0.02</v>
      </c>
      <c r="F17" s="1366">
        <f t="shared" si="0"/>
        <v>1.0560000000000001E-3</v>
      </c>
      <c r="G17" s="1109">
        <v>0.02</v>
      </c>
      <c r="H17" s="1366">
        <f t="shared" si="1"/>
        <v>1.0560000000000001E-3</v>
      </c>
      <c r="I17" s="1101">
        <v>0.02</v>
      </c>
      <c r="J17" s="1101">
        <f t="shared" si="2"/>
        <v>1.0560000000000001E-3</v>
      </c>
      <c r="K17" s="1102">
        <f t="shared" si="3"/>
        <v>5.3200000000000011E-2</v>
      </c>
      <c r="L17" s="1102">
        <f t="shared" si="6"/>
        <v>1.9324800000000003E-3</v>
      </c>
      <c r="M17" s="1102">
        <f t="shared" si="4"/>
        <v>5.3200000000000011E-2</v>
      </c>
      <c r="N17" s="1103">
        <f t="shared" si="7"/>
        <v>2.8089600000000005E-3</v>
      </c>
      <c r="O17" s="1102">
        <f t="shared" si="5"/>
        <v>5.3200000000000011E-2</v>
      </c>
      <c r="P17" s="1478">
        <f t="shared" si="7"/>
        <v>2.8089600000000005E-3</v>
      </c>
      <c r="Q17" s="1257"/>
      <c r="Z17" s="158" t="s">
        <v>681</v>
      </c>
      <c r="AA17" s="370">
        <v>5.28E-2</v>
      </c>
    </row>
    <row r="18" spans="1:27" ht="45">
      <c r="A18" s="1371">
        <v>5</v>
      </c>
      <c r="B18" s="1106" t="s">
        <v>469</v>
      </c>
      <c r="C18" s="1107">
        <v>5.28E-2</v>
      </c>
      <c r="D18" s="1108">
        <v>21.35</v>
      </c>
      <c r="E18" s="1109">
        <v>23.38</v>
      </c>
      <c r="F18" s="1366">
        <f t="shared" si="0"/>
        <v>1.1808720000000001</v>
      </c>
      <c r="G18" s="1109">
        <v>23.39</v>
      </c>
      <c r="H18" s="1366">
        <f t="shared" si="1"/>
        <v>1.2347279999999998</v>
      </c>
      <c r="I18" s="1101">
        <v>23.47</v>
      </c>
      <c r="J18" s="1101">
        <f t="shared" si="2"/>
        <v>1.237104</v>
      </c>
      <c r="K18" s="1102">
        <f t="shared" si="3"/>
        <v>23.47</v>
      </c>
      <c r="L18" s="1102">
        <f t="shared" si="6"/>
        <v>1.2392159999999999</v>
      </c>
      <c r="M18" s="1102">
        <f t="shared" si="4"/>
        <v>23.472899999999999</v>
      </c>
      <c r="N18" s="1103">
        <f t="shared" si="7"/>
        <v>1.2392925599999998</v>
      </c>
      <c r="O18" s="1102">
        <f t="shared" si="5"/>
        <v>23.47</v>
      </c>
      <c r="P18" s="1478">
        <f t="shared" si="7"/>
        <v>1.2392925599999998</v>
      </c>
      <c r="Q18" s="1257"/>
      <c r="Z18" s="158" t="s">
        <v>726</v>
      </c>
      <c r="AA18" s="370">
        <v>3.3399999999999999E-2</v>
      </c>
    </row>
    <row r="19" spans="1:27" ht="15.75">
      <c r="A19" s="1371">
        <v>6</v>
      </c>
      <c r="B19" s="1106" t="s">
        <v>471</v>
      </c>
      <c r="C19" s="1107">
        <v>3.3399999999999999E-2</v>
      </c>
      <c r="D19" s="1108">
        <v>11.44</v>
      </c>
      <c r="E19" s="1109">
        <v>11.75</v>
      </c>
      <c r="F19" s="1366">
        <f t="shared" si="0"/>
        <v>0.38727299999999998</v>
      </c>
      <c r="G19" s="1109">
        <v>12.34</v>
      </c>
      <c r="H19" s="1366">
        <f t="shared" si="1"/>
        <v>0.40230299999999997</v>
      </c>
      <c r="I19" s="1101">
        <v>12.69</v>
      </c>
      <c r="J19" s="1101">
        <f t="shared" si="2"/>
        <v>0.41800100000000001</v>
      </c>
      <c r="K19" s="1102">
        <f t="shared" si="3"/>
        <v>13.07</v>
      </c>
      <c r="L19" s="1102">
        <f t="shared" si="6"/>
        <v>0.43019199999999996</v>
      </c>
      <c r="M19" s="1102">
        <f t="shared" si="4"/>
        <v>13.07</v>
      </c>
      <c r="N19" s="1103">
        <f t="shared" si="7"/>
        <v>0.43653799999999998</v>
      </c>
      <c r="O19" s="1102">
        <f t="shared" si="5"/>
        <v>13.07</v>
      </c>
      <c r="P19" s="1478">
        <f t="shared" si="7"/>
        <v>0.43653799999999998</v>
      </c>
      <c r="Q19" s="1257"/>
    </row>
    <row r="20" spans="1:27" ht="47.25">
      <c r="A20" s="1371">
        <v>7</v>
      </c>
      <c r="B20" s="1106" t="s">
        <v>472</v>
      </c>
      <c r="C20" s="1107">
        <v>3.3399999999999999E-2</v>
      </c>
      <c r="D20" s="1108">
        <v>42.61</v>
      </c>
      <c r="E20" s="1109">
        <v>45.72</v>
      </c>
      <c r="F20" s="1366">
        <f t="shared" si="0"/>
        <v>1.4751109999999998</v>
      </c>
      <c r="G20" s="1109">
        <v>44.63</v>
      </c>
      <c r="H20" s="1366">
        <f t="shared" si="1"/>
        <v>1.5088449999999998</v>
      </c>
      <c r="I20" s="1101">
        <v>43.96</v>
      </c>
      <c r="J20" s="1101">
        <f t="shared" si="2"/>
        <v>1.4794530000000001</v>
      </c>
      <c r="K20" s="1102">
        <f t="shared" si="3"/>
        <v>43.964611700000006</v>
      </c>
      <c r="L20" s="1102">
        <f t="shared" si="6"/>
        <v>1.4683410153900003</v>
      </c>
      <c r="M20" s="1102">
        <f t="shared" si="4"/>
        <v>43.964611700000006</v>
      </c>
      <c r="N20" s="1103">
        <f t="shared" si="7"/>
        <v>1.4684180307800001</v>
      </c>
      <c r="O20" s="1102">
        <f t="shared" si="5"/>
        <v>47.324611700000005</v>
      </c>
      <c r="P20" s="1478">
        <f t="shared" si="7"/>
        <v>1.52453003078</v>
      </c>
      <c r="Q20" s="1257"/>
    </row>
    <row r="21" spans="1:27" ht="15.75">
      <c r="A21" s="1371">
        <v>8</v>
      </c>
      <c r="B21" s="1106" t="s">
        <v>473</v>
      </c>
      <c r="C21" s="1107">
        <v>3.3399999999999999E-2</v>
      </c>
      <c r="D21" s="1108">
        <v>16.940000000000001</v>
      </c>
      <c r="E21" s="1109">
        <v>17.190000000000001</v>
      </c>
      <c r="F21" s="1366">
        <f t="shared" si="0"/>
        <v>0.56997100000000001</v>
      </c>
      <c r="G21" s="1109">
        <v>17.190000000000001</v>
      </c>
      <c r="H21" s="1366">
        <f t="shared" si="1"/>
        <v>0.57414600000000005</v>
      </c>
      <c r="I21" s="1101">
        <v>17.190000000000001</v>
      </c>
      <c r="J21" s="1101">
        <f t="shared" si="2"/>
        <v>0.57414600000000005</v>
      </c>
      <c r="K21" s="1102">
        <f t="shared" si="3"/>
        <v>17.190000000000001</v>
      </c>
      <c r="L21" s="1102">
        <f t="shared" si="6"/>
        <v>0.57414600000000005</v>
      </c>
      <c r="M21" s="1102">
        <f t="shared" si="4"/>
        <v>17.1938</v>
      </c>
      <c r="N21" s="1103">
        <f t="shared" si="7"/>
        <v>0.57420945999999995</v>
      </c>
      <c r="O21" s="1102">
        <f t="shared" si="5"/>
        <v>17.1938</v>
      </c>
      <c r="P21" s="1478">
        <f t="shared" si="7"/>
        <v>0.57427291999999996</v>
      </c>
      <c r="Q21" s="1257"/>
    </row>
    <row r="22" spans="1:27" ht="15.75">
      <c r="A22" s="1371">
        <v>9</v>
      </c>
      <c r="B22" s="1106" t="s">
        <v>474</v>
      </c>
      <c r="C22" s="1107">
        <v>3.3399999999999999E-2</v>
      </c>
      <c r="D22" s="1108">
        <v>43.17</v>
      </c>
      <c r="E22" s="1109">
        <v>46.07</v>
      </c>
      <c r="F22" s="1366">
        <f t="shared" si="0"/>
        <v>1.4903080000000002</v>
      </c>
      <c r="G22" s="1109">
        <v>51.48</v>
      </c>
      <c r="H22" s="1366">
        <f t="shared" si="1"/>
        <v>1.6290849999999999</v>
      </c>
      <c r="I22" s="1101">
        <v>54.57</v>
      </c>
      <c r="J22" s="1101">
        <f t="shared" si="2"/>
        <v>1.7710349999999999</v>
      </c>
      <c r="K22" s="1102">
        <f t="shared" si="3"/>
        <v>54.6</v>
      </c>
      <c r="L22" s="1102">
        <f t="shared" si="6"/>
        <v>1.8231390000000001</v>
      </c>
      <c r="M22" s="1102">
        <f t="shared" si="4"/>
        <v>54.6</v>
      </c>
      <c r="N22" s="1103">
        <f t="shared" si="7"/>
        <v>1.8236399999999999</v>
      </c>
      <c r="O22" s="1102">
        <f t="shared" si="5"/>
        <v>54.93</v>
      </c>
      <c r="P22" s="1478">
        <f t="shared" si="7"/>
        <v>1.829151</v>
      </c>
      <c r="Q22" s="1257"/>
    </row>
    <row r="23" spans="1:27" ht="15.75">
      <c r="A23" s="1371">
        <v>10</v>
      </c>
      <c r="B23" s="1106" t="s">
        <v>475</v>
      </c>
      <c r="C23" s="1107">
        <v>5.28E-2</v>
      </c>
      <c r="D23" s="1362">
        <v>83.48</v>
      </c>
      <c r="E23" s="1109">
        <v>83.96</v>
      </c>
      <c r="F23" s="1366">
        <f t="shared" si="0"/>
        <v>4.4204160000000003</v>
      </c>
      <c r="G23" s="1109">
        <v>84.18</v>
      </c>
      <c r="H23" s="1366">
        <f t="shared" si="1"/>
        <v>4.4388959999999997</v>
      </c>
      <c r="I23" s="1101">
        <v>84.22</v>
      </c>
      <c r="J23" s="1101">
        <f t="shared" si="2"/>
        <v>4.4457599999999999</v>
      </c>
      <c r="K23" s="1102">
        <f t="shared" si="3"/>
        <v>84.219099999999997</v>
      </c>
      <c r="L23" s="1102">
        <f t="shared" si="6"/>
        <v>4.4467922399999997</v>
      </c>
      <c r="M23" s="1102">
        <f t="shared" si="4"/>
        <v>84.219099999999997</v>
      </c>
      <c r="N23" s="1103">
        <f t="shared" si="7"/>
        <v>4.4467684800000002</v>
      </c>
      <c r="O23" s="1102">
        <f t="shared" si="5"/>
        <v>84.219099999999997</v>
      </c>
      <c r="P23" s="1478">
        <f t="shared" si="7"/>
        <v>4.4467684800000002</v>
      </c>
      <c r="Q23" s="1257"/>
    </row>
    <row r="24" spans="1:27" ht="15.75">
      <c r="A24" s="1371">
        <v>11</v>
      </c>
      <c r="B24" s="1106" t="s">
        <v>476</v>
      </c>
      <c r="C24" s="1107">
        <v>5.28E-2</v>
      </c>
      <c r="D24" s="1108">
        <v>245.31</v>
      </c>
      <c r="E24" s="1109">
        <v>250.38</v>
      </c>
      <c r="F24" s="1366">
        <f t="shared" si="0"/>
        <v>13.086216</v>
      </c>
      <c r="G24" s="1109">
        <v>274.52999999999997</v>
      </c>
      <c r="H24" s="1366">
        <f t="shared" si="1"/>
        <v>13.857623999999999</v>
      </c>
      <c r="I24" s="1101">
        <v>319.35000000000002</v>
      </c>
      <c r="J24" s="1101">
        <f t="shared" si="2"/>
        <v>15.678431999999999</v>
      </c>
      <c r="K24" s="1102">
        <f t="shared" si="3"/>
        <v>319.3508673020001</v>
      </c>
      <c r="L24" s="1102">
        <f t="shared" si="6"/>
        <v>16.861702896772805</v>
      </c>
      <c r="M24" s="1102">
        <f t="shared" si="4"/>
        <v>319.3508673020001</v>
      </c>
      <c r="N24" s="1103">
        <f t="shared" si="7"/>
        <v>16.861725793545606</v>
      </c>
      <c r="O24" s="1102">
        <f t="shared" si="5"/>
        <v>319.3508673020001</v>
      </c>
      <c r="P24" s="1478">
        <f t="shared" si="7"/>
        <v>16.861725793545606</v>
      </c>
      <c r="Q24" s="1257"/>
    </row>
    <row r="25" spans="1:27" ht="31.5">
      <c r="A25" s="1371">
        <v>12</v>
      </c>
      <c r="B25" s="1106" t="s">
        <v>477</v>
      </c>
      <c r="C25" s="1107">
        <v>3.3399999999999999E-2</v>
      </c>
      <c r="D25" s="1108">
        <v>0.23</v>
      </c>
      <c r="E25" s="1109">
        <v>0.6</v>
      </c>
      <c r="F25" s="1366">
        <f t="shared" si="0"/>
        <v>1.3860999999999998E-2</v>
      </c>
      <c r="G25" s="1109">
        <v>1.45</v>
      </c>
      <c r="H25" s="1366">
        <f t="shared" si="1"/>
        <v>3.4234999999999995E-2</v>
      </c>
      <c r="I25" s="1101">
        <v>1.52</v>
      </c>
      <c r="J25" s="1101">
        <f t="shared" si="2"/>
        <v>4.9598999999999997E-2</v>
      </c>
      <c r="K25" s="1102">
        <f t="shared" si="3"/>
        <v>1.97</v>
      </c>
      <c r="L25" s="1102">
        <f t="shared" si="6"/>
        <v>5.8283000000000001E-2</v>
      </c>
      <c r="M25" s="1102">
        <f t="shared" si="4"/>
        <v>2.0562</v>
      </c>
      <c r="N25" s="1103">
        <f t="shared" si="7"/>
        <v>6.7237539999999998E-2</v>
      </c>
      <c r="O25" s="1102">
        <f t="shared" si="5"/>
        <v>2.2400000000000002</v>
      </c>
      <c r="P25" s="1478">
        <f t="shared" si="7"/>
        <v>7.1746540000000011E-2</v>
      </c>
      <c r="Q25" s="1257"/>
    </row>
    <row r="26" spans="1:27" ht="15.75">
      <c r="A26" s="1371">
        <v>13</v>
      </c>
      <c r="B26" s="1106" t="s">
        <v>478</v>
      </c>
      <c r="C26" s="1107">
        <f>C14</f>
        <v>5.28E-2</v>
      </c>
      <c r="D26" s="1108">
        <v>80.739999999999995</v>
      </c>
      <c r="E26" s="1109">
        <v>153.1</v>
      </c>
      <c r="F26" s="1366">
        <f t="shared" si="0"/>
        <v>6.1733759999999993</v>
      </c>
      <c r="G26" s="1109">
        <v>270.87</v>
      </c>
      <c r="H26" s="1366">
        <f t="shared" si="1"/>
        <v>11.192808000000001</v>
      </c>
      <c r="I26" s="1101">
        <v>322.57</v>
      </c>
      <c r="J26" s="1101">
        <f t="shared" si="2"/>
        <v>15.666816000000001</v>
      </c>
      <c r="K26" s="1102">
        <f>I26+M115+2</f>
        <v>330.58999999999992</v>
      </c>
      <c r="L26" s="1102">
        <f t="shared" si="6"/>
        <v>17.243423999999997</v>
      </c>
      <c r="M26" s="1102">
        <f t="shared" si="4"/>
        <v>345.98999999999995</v>
      </c>
      <c r="N26" s="1103">
        <f t="shared" si="7"/>
        <v>17.861711999999997</v>
      </c>
      <c r="O26" s="1102">
        <f t="shared" si="5"/>
        <v>346.32999999999993</v>
      </c>
      <c r="P26" s="1478">
        <f t="shared" si="7"/>
        <v>18.277247999999997</v>
      </c>
      <c r="Q26" s="1257"/>
    </row>
    <row r="27" spans="1:27" ht="47.25">
      <c r="A27" s="1371">
        <v>14</v>
      </c>
      <c r="B27" s="1106" t="s">
        <v>626</v>
      </c>
      <c r="C27" s="1107">
        <v>3.3399999999999999E-2</v>
      </c>
      <c r="D27" s="1108">
        <v>52.18</v>
      </c>
      <c r="E27" s="1109">
        <v>63.5</v>
      </c>
      <c r="F27" s="1366">
        <f t="shared" si="0"/>
        <v>1.931856</v>
      </c>
      <c r="G27" s="1109">
        <v>90.3</v>
      </c>
      <c r="H27" s="1366">
        <f t="shared" si="1"/>
        <v>2.56846</v>
      </c>
      <c r="I27" s="1101">
        <v>109.53</v>
      </c>
      <c r="J27" s="1101">
        <f t="shared" si="2"/>
        <v>3.3371609999999996</v>
      </c>
      <c r="K27" s="1102">
        <f t="shared" si="3"/>
        <v>112.08</v>
      </c>
      <c r="L27" s="1102">
        <f t="shared" si="6"/>
        <v>3.7008870000000003</v>
      </c>
      <c r="M27" s="1102">
        <f t="shared" si="4"/>
        <v>112.71999999999998</v>
      </c>
      <c r="N27" s="1103">
        <f t="shared" si="7"/>
        <v>3.7541599999999997</v>
      </c>
      <c r="O27" s="1102">
        <f t="shared" si="5"/>
        <v>117.19999999999999</v>
      </c>
      <c r="P27" s="1478">
        <f t="shared" si="7"/>
        <v>3.8396639999999991</v>
      </c>
      <c r="Q27" s="1257"/>
    </row>
    <row r="28" spans="1:27" ht="15.75">
      <c r="A28" s="1371">
        <v>15</v>
      </c>
      <c r="B28" s="1106" t="s">
        <v>479</v>
      </c>
      <c r="C28" s="1107">
        <v>3.3399999999999999E-2</v>
      </c>
      <c r="D28" s="1108">
        <v>0.79</v>
      </c>
      <c r="E28" s="1109">
        <v>0.78</v>
      </c>
      <c r="F28" s="1366">
        <f t="shared" si="0"/>
        <v>2.6218999999999999E-2</v>
      </c>
      <c r="G28" s="1109">
        <v>0.87</v>
      </c>
      <c r="H28" s="1366">
        <f t="shared" si="1"/>
        <v>2.7554999999999996E-2</v>
      </c>
      <c r="I28" s="1101">
        <v>1.25</v>
      </c>
      <c r="J28" s="1101">
        <f t="shared" si="2"/>
        <v>3.5403999999999998E-2</v>
      </c>
      <c r="K28" s="1102">
        <f t="shared" si="3"/>
        <v>1.25</v>
      </c>
      <c r="L28" s="1102">
        <f t="shared" si="6"/>
        <v>4.1749999999999995E-2</v>
      </c>
      <c r="M28" s="1102">
        <f t="shared" si="4"/>
        <v>1.25</v>
      </c>
      <c r="N28" s="1103">
        <f t="shared" si="7"/>
        <v>4.1749999999999995E-2</v>
      </c>
      <c r="O28" s="1102">
        <f t="shared" si="5"/>
        <v>1.25</v>
      </c>
      <c r="P28" s="1478">
        <f t="shared" si="7"/>
        <v>4.1749999999999995E-2</v>
      </c>
      <c r="Q28" s="1257"/>
    </row>
    <row r="29" spans="1:27" ht="15.75">
      <c r="A29" s="1371">
        <v>16</v>
      </c>
      <c r="B29" s="1106" t="s">
        <v>480</v>
      </c>
      <c r="C29" s="1107">
        <v>3.3399999999999999E-2</v>
      </c>
      <c r="D29" s="1108">
        <v>9.4499999999999993</v>
      </c>
      <c r="E29" s="1109">
        <v>10.050000000000001</v>
      </c>
      <c r="F29" s="1366">
        <f t="shared" si="0"/>
        <v>0.32565</v>
      </c>
      <c r="G29" s="1109">
        <v>10.73</v>
      </c>
      <c r="H29" s="1366">
        <f t="shared" si="1"/>
        <v>0.347026</v>
      </c>
      <c r="I29" s="1101">
        <v>13.84</v>
      </c>
      <c r="J29" s="1101">
        <f t="shared" si="2"/>
        <v>0.41031899999999999</v>
      </c>
      <c r="K29" s="1102">
        <f t="shared" si="3"/>
        <v>16.05</v>
      </c>
      <c r="L29" s="1102">
        <f t="shared" si="6"/>
        <v>0.49916300000000002</v>
      </c>
      <c r="M29" s="1102">
        <f t="shared" si="4"/>
        <v>17.812000000000001</v>
      </c>
      <c r="N29" s="1103">
        <f t="shared" si="7"/>
        <v>0.56549539999999998</v>
      </c>
      <c r="O29" s="1102">
        <f t="shared" si="5"/>
        <v>18.282000000000004</v>
      </c>
      <c r="P29" s="1478">
        <f t="shared" si="7"/>
        <v>0.60276980000000013</v>
      </c>
      <c r="Q29" s="1257"/>
    </row>
    <row r="30" spans="1:27" ht="30" customHeight="1">
      <c r="A30" s="1371">
        <v>17</v>
      </c>
      <c r="B30" s="1106" t="s">
        <v>481</v>
      </c>
      <c r="C30" s="1107">
        <v>5.28E-2</v>
      </c>
      <c r="D30" s="1108">
        <v>0.42</v>
      </c>
      <c r="E30" s="1109">
        <v>0.45</v>
      </c>
      <c r="F30" s="1366">
        <f t="shared" si="0"/>
        <v>2.2967999999999999E-2</v>
      </c>
      <c r="G30" s="1109">
        <v>0.45</v>
      </c>
      <c r="H30" s="1366">
        <f t="shared" si="1"/>
        <v>2.376E-2</v>
      </c>
      <c r="I30" s="1101">
        <v>1.49</v>
      </c>
      <c r="J30" s="1101">
        <f t="shared" si="2"/>
        <v>5.1215999999999998E-2</v>
      </c>
      <c r="K30" s="1102">
        <f t="shared" si="3"/>
        <v>1.4891000000000001</v>
      </c>
      <c r="L30" s="1102">
        <f t="shared" si="6"/>
        <v>7.8648239999999994E-2</v>
      </c>
      <c r="M30" s="1102">
        <f t="shared" si="4"/>
        <v>1.4891000000000001</v>
      </c>
      <c r="N30" s="1103">
        <f t="shared" si="7"/>
        <v>7.862448000000001E-2</v>
      </c>
      <c r="O30" s="1102">
        <f t="shared" si="5"/>
        <v>1.4891000000000001</v>
      </c>
      <c r="P30" s="1478">
        <f t="shared" si="7"/>
        <v>7.862448000000001E-2</v>
      </c>
      <c r="Q30" s="1257"/>
    </row>
    <row r="31" spans="1:27" ht="43.5" customHeight="1">
      <c r="A31" s="1371">
        <v>18</v>
      </c>
      <c r="B31" s="1106" t="s">
        <v>482</v>
      </c>
      <c r="C31" s="1107">
        <v>5.28E-2</v>
      </c>
      <c r="D31" s="1108">
        <v>42</v>
      </c>
      <c r="E31" s="1109">
        <v>48.02</v>
      </c>
      <c r="F31" s="1366">
        <f t="shared" si="0"/>
        <v>2.3765280000000004</v>
      </c>
      <c r="G31" s="1109">
        <v>48.02</v>
      </c>
      <c r="H31" s="1366">
        <f t="shared" si="1"/>
        <v>2.5354559999999999</v>
      </c>
      <c r="I31" s="1101">
        <v>49.01</v>
      </c>
      <c r="J31" s="1101">
        <f t="shared" si="2"/>
        <v>2.5615920000000001</v>
      </c>
      <c r="K31" s="1102">
        <f t="shared" si="3"/>
        <v>49.010099999999994</v>
      </c>
      <c r="L31" s="1102">
        <f t="shared" si="6"/>
        <v>2.5877306399999997</v>
      </c>
      <c r="M31" s="1102">
        <f t="shared" si="4"/>
        <v>49.010099999999994</v>
      </c>
      <c r="N31" s="1103">
        <f t="shared" si="7"/>
        <v>2.5877332799999997</v>
      </c>
      <c r="O31" s="1102">
        <f t="shared" si="5"/>
        <v>49.010099999999994</v>
      </c>
      <c r="P31" s="1478">
        <f t="shared" si="7"/>
        <v>2.5877332799999997</v>
      </c>
      <c r="Q31" s="1257"/>
    </row>
    <row r="32" spans="1:27" ht="15.75">
      <c r="A32" s="1371">
        <v>19</v>
      </c>
      <c r="B32" s="1106" t="s">
        <v>483</v>
      </c>
      <c r="C32" s="1107">
        <v>5.28E-2</v>
      </c>
      <c r="D32" s="1108">
        <v>24.97</v>
      </c>
      <c r="E32" s="1110">
        <v>24.4</v>
      </c>
      <c r="F32" s="1366">
        <f t="shared" si="0"/>
        <v>1.3033679999999999</v>
      </c>
      <c r="G32" s="1109">
        <v>24.4</v>
      </c>
      <c r="H32" s="1366">
        <f t="shared" si="1"/>
        <v>1.2883199999999999</v>
      </c>
      <c r="I32" s="1101">
        <v>24.4</v>
      </c>
      <c r="J32" s="1101">
        <f t="shared" si="2"/>
        <v>1.2883199999999999</v>
      </c>
      <c r="K32" s="1102">
        <f t="shared" si="3"/>
        <v>24.4</v>
      </c>
      <c r="L32" s="1102">
        <f t="shared" si="6"/>
        <v>1.2883199999999999</v>
      </c>
      <c r="M32" s="1102">
        <f t="shared" si="4"/>
        <v>24.4</v>
      </c>
      <c r="N32" s="1103">
        <f t="shared" si="7"/>
        <v>1.2883199999999999</v>
      </c>
      <c r="O32" s="1102">
        <f t="shared" si="5"/>
        <v>24.4</v>
      </c>
      <c r="P32" s="1478">
        <f t="shared" si="7"/>
        <v>1.2883199999999999</v>
      </c>
      <c r="Q32" s="1257"/>
    </row>
    <row r="33" spans="1:17" ht="31.5">
      <c r="A33" s="1371">
        <v>20</v>
      </c>
      <c r="B33" s="1106" t="s">
        <v>484</v>
      </c>
      <c r="C33" s="1107">
        <v>6.3299999999999995E-2</v>
      </c>
      <c r="D33" s="1108">
        <v>2.37</v>
      </c>
      <c r="E33" s="1109">
        <v>2.1800000000000002</v>
      </c>
      <c r="F33" s="1366">
        <f t="shared" si="0"/>
        <v>0.14400750000000001</v>
      </c>
      <c r="G33" s="1109">
        <v>2.72</v>
      </c>
      <c r="H33" s="1366">
        <f t="shared" si="1"/>
        <v>0.155085</v>
      </c>
      <c r="I33" s="1101">
        <v>4.78</v>
      </c>
      <c r="J33" s="1101">
        <f t="shared" si="2"/>
        <v>0.23737499999999997</v>
      </c>
      <c r="K33" s="1102">
        <f t="shared" si="3"/>
        <v>4.87</v>
      </c>
      <c r="L33" s="1102">
        <f t="shared" si="6"/>
        <v>0.30542249999999999</v>
      </c>
      <c r="M33" s="1102">
        <f t="shared" si="4"/>
        <v>5.09</v>
      </c>
      <c r="N33" s="1103">
        <f t="shared" si="7"/>
        <v>0.31523400000000001</v>
      </c>
      <c r="O33" s="1102">
        <f t="shared" si="5"/>
        <v>5.15</v>
      </c>
      <c r="P33" s="1478">
        <f t="shared" si="7"/>
        <v>0.324096</v>
      </c>
      <c r="Q33" s="1257"/>
    </row>
    <row r="34" spans="1:17" ht="15.75">
      <c r="A34" s="1371">
        <v>21</v>
      </c>
      <c r="B34" s="1106" t="s">
        <v>485</v>
      </c>
      <c r="C34" s="1107">
        <v>5.28E-2</v>
      </c>
      <c r="D34" s="1108">
        <v>3.48</v>
      </c>
      <c r="E34" s="1109">
        <v>3.99</v>
      </c>
      <c r="F34" s="1366">
        <f t="shared" si="0"/>
        <v>0.19720800000000002</v>
      </c>
      <c r="G34" s="1109">
        <v>4.5</v>
      </c>
      <c r="H34" s="1366">
        <f t="shared" si="1"/>
        <v>0.224136</v>
      </c>
      <c r="I34" s="1101">
        <v>7.31</v>
      </c>
      <c r="J34" s="1101">
        <f t="shared" si="2"/>
        <v>0.31178399999999995</v>
      </c>
      <c r="K34" s="1102">
        <v>7.31</v>
      </c>
      <c r="L34" s="1102">
        <f t="shared" si="6"/>
        <v>0.38596799999999998</v>
      </c>
      <c r="M34" s="1102">
        <v>7.3140000000000001</v>
      </c>
      <c r="N34" s="1103">
        <f t="shared" si="7"/>
        <v>0.38607359999999996</v>
      </c>
      <c r="O34" s="1102">
        <v>7.3140000000000001</v>
      </c>
      <c r="P34" s="1478">
        <f t="shared" si="7"/>
        <v>0.3861792</v>
      </c>
      <c r="Q34" s="1257"/>
    </row>
    <row r="35" spans="1:17" ht="15.75">
      <c r="A35" s="1371">
        <v>22</v>
      </c>
      <c r="B35" s="1094" t="s">
        <v>627</v>
      </c>
      <c r="C35" s="1107">
        <v>5.28E-2</v>
      </c>
      <c r="D35" s="1108">
        <v>0</v>
      </c>
      <c r="E35" s="1108">
        <v>0</v>
      </c>
      <c r="F35" s="1366">
        <f t="shared" si="0"/>
        <v>0</v>
      </c>
      <c r="G35" s="1109">
        <v>28.7</v>
      </c>
      <c r="H35" s="1366">
        <f t="shared" si="1"/>
        <v>0.75768000000000002</v>
      </c>
      <c r="I35" s="1101">
        <v>30.74</v>
      </c>
      <c r="J35" s="1101">
        <f t="shared" si="2"/>
        <v>1.5692159999999999</v>
      </c>
      <c r="K35" s="1102">
        <f t="shared" si="3"/>
        <v>30.74</v>
      </c>
      <c r="L35" s="1102">
        <f t="shared" si="6"/>
        <v>1.6230719999999998</v>
      </c>
      <c r="M35" s="1102">
        <f t="shared" si="4"/>
        <v>30.74</v>
      </c>
      <c r="N35" s="1103">
        <f t="shared" si="7"/>
        <v>1.6230719999999998</v>
      </c>
      <c r="O35" s="1102">
        <f t="shared" si="5"/>
        <v>30.74</v>
      </c>
      <c r="P35" s="1478">
        <f t="shared" si="7"/>
        <v>1.6230719999999998</v>
      </c>
      <c r="Q35" s="1257"/>
    </row>
    <row r="36" spans="1:17" ht="68.25" customHeight="1">
      <c r="A36" s="1371">
        <v>23</v>
      </c>
      <c r="B36" s="1111" t="s">
        <v>727</v>
      </c>
      <c r="C36" s="1112" t="s">
        <v>729</v>
      </c>
      <c r="D36" s="1364">
        <v>1516.8700000000001</v>
      </c>
      <c r="E36" s="1364">
        <v>1560.15</v>
      </c>
      <c r="F36" s="1113">
        <f>SUM(F14:F35)/SUM(D14:D35)*D36</f>
        <v>79.403129484773459</v>
      </c>
      <c r="G36" s="1364">
        <v>1587.56</v>
      </c>
      <c r="H36" s="1114">
        <f>SUM(H14:H35)/SUM(G14:G35)*G36</f>
        <v>80.483059957145812</v>
      </c>
      <c r="I36" s="1101">
        <v>1548.51</v>
      </c>
      <c r="J36" s="1101">
        <f>SUM(J14:J35)/SUM(I14:I35)*I36</f>
        <v>78.734610654817942</v>
      </c>
      <c r="K36" s="1102">
        <v>1551.57</v>
      </c>
      <c r="L36" s="1101">
        <f>SUM(L14:L35)/SUM(K14:K35)*K36</f>
        <v>79.808450159735955</v>
      </c>
      <c r="M36" s="1102">
        <v>1552.24</v>
      </c>
      <c r="N36" s="1101">
        <f>SUM(N14:N35)/SUM(M14:M35)*M36</f>
        <v>80.072572541383678</v>
      </c>
      <c r="O36" s="1102">
        <v>1556.144</v>
      </c>
      <c r="P36" s="1479">
        <f>SUM(P14:P35)/SUM(O14:O35)*O36</f>
        <v>80.324081968980607</v>
      </c>
      <c r="Q36" s="1257"/>
    </row>
    <row r="37" spans="1:17" ht="16.5" customHeight="1">
      <c r="A37" s="1371">
        <v>24</v>
      </c>
      <c r="B37" s="1117" t="s">
        <v>728</v>
      </c>
      <c r="C37" s="1364"/>
      <c r="D37" s="1364">
        <f>SUM(D14:D36)</f>
        <v>7884.6799999999985</v>
      </c>
      <c r="E37" s="1113">
        <f>SUM(E14:E36)</f>
        <v>8034.6400000000012</v>
      </c>
      <c r="F37" s="1113">
        <f>SUM(F14:F35)+F36</f>
        <v>412.7369299847735</v>
      </c>
      <c r="G37" s="1364">
        <f>SUM(G14:G36)</f>
        <v>8367.76</v>
      </c>
      <c r="H37" s="1113">
        <f>SUM(H14:H35)+H36</f>
        <v>424.21258395714585</v>
      </c>
      <c r="I37" s="1118">
        <f>SUM(I14:I36)</f>
        <v>8580.2199999999993</v>
      </c>
      <c r="J37" s="1118">
        <f t="shared" ref="J37:P37" si="8">SUM(J14:J36)</f>
        <v>436.2647196548179</v>
      </c>
      <c r="K37" s="1118">
        <f t="shared" si="8"/>
        <v>8656.7277328020009</v>
      </c>
      <c r="L37" s="1118">
        <f t="shared" si="8"/>
        <v>445.27802407221884</v>
      </c>
      <c r="M37" s="1118">
        <f t="shared" si="8"/>
        <v>8689.586632802002</v>
      </c>
      <c r="N37" s="1118">
        <f t="shared" si="8"/>
        <v>448.25384992634923</v>
      </c>
      <c r="O37" s="1118">
        <f t="shared" si="8"/>
        <v>8713.7786696019994</v>
      </c>
      <c r="P37" s="1480">
        <f t="shared" si="8"/>
        <v>449.78245722546615</v>
      </c>
      <c r="Q37" s="1257"/>
    </row>
    <row r="38" spans="1:17" ht="18.75" customHeight="1">
      <c r="A38" s="1371">
        <v>25</v>
      </c>
      <c r="B38" s="1117" t="s">
        <v>731</v>
      </c>
      <c r="C38" s="1364"/>
      <c r="D38" s="1969">
        <f>AVERAGE(D37,E37)</f>
        <v>7959.66</v>
      </c>
      <c r="E38" s="1970"/>
      <c r="F38" s="1121">
        <f>F37/D38</f>
        <v>5.1853587965412277E-2</v>
      </c>
      <c r="G38" s="1364">
        <f>AVERAGE(E37,G37)</f>
        <v>8201.2000000000007</v>
      </c>
      <c r="H38" s="1121">
        <f>H37/G38</f>
        <v>5.1725672335407723E-2</v>
      </c>
      <c r="I38" s="1118">
        <f>AVERAGE(G37,I37)</f>
        <v>8473.99</v>
      </c>
      <c r="J38" s="1122">
        <f>J37/I38</f>
        <v>5.1482798499268692E-2</v>
      </c>
      <c r="K38" s="1118">
        <f>AVERAGE(I37,K37)</f>
        <v>8618.4738664010001</v>
      </c>
      <c r="L38" s="1122">
        <f>L37/K38</f>
        <v>5.1665530461040089E-2</v>
      </c>
      <c r="M38" s="1118">
        <f>AVERAGE(K37,M37)</f>
        <v>8673.1571828020024</v>
      </c>
      <c r="N38" s="1122">
        <f>N37/M38</f>
        <v>5.1682892455263175E-2</v>
      </c>
      <c r="O38" s="1118">
        <f>AVERAGE(M37,O37)</f>
        <v>8701.6826512020016</v>
      </c>
      <c r="P38" s="1481">
        <f>P37/O38</f>
        <v>5.1689135912504888E-2</v>
      </c>
      <c r="Q38" s="1257"/>
    </row>
    <row r="39" spans="1:17" ht="15.75">
      <c r="A39" s="1361"/>
      <c r="B39" s="1123"/>
      <c r="C39" s="1123"/>
      <c r="D39" s="1123"/>
      <c r="E39" s="1835"/>
      <c r="F39" s="1835"/>
      <c r="G39" s="1835"/>
      <c r="H39" s="1835"/>
      <c r="I39" s="1835"/>
      <c r="J39" s="1835"/>
      <c r="K39" s="1080"/>
      <c r="L39" s="1080"/>
      <c r="M39" s="1080"/>
      <c r="N39" s="1080"/>
      <c r="O39" s="1080"/>
      <c r="P39" s="1082"/>
      <c r="Q39" s="1257"/>
    </row>
    <row r="40" spans="1:17" ht="15.75">
      <c r="A40" s="1369"/>
      <c r="B40" s="1370"/>
      <c r="C40" s="1370"/>
      <c r="D40" s="1123"/>
      <c r="E40" s="1835"/>
      <c r="F40" s="1835"/>
      <c r="G40" s="1835"/>
      <c r="H40" s="1835"/>
      <c r="I40" s="1835"/>
      <c r="J40" s="1835"/>
      <c r="K40" s="1080"/>
      <c r="L40" s="1080"/>
      <c r="M40" s="1080"/>
      <c r="N40" s="1080"/>
      <c r="O40" s="1080"/>
      <c r="P40" s="1082"/>
      <c r="Q40" s="1257"/>
    </row>
    <row r="41" spans="1:17" ht="21" customHeight="1">
      <c r="A41" s="1794"/>
      <c r="B41" s="1124" t="s">
        <v>998</v>
      </c>
      <c r="C41" s="1124"/>
      <c r="D41" s="1124"/>
      <c r="E41" s="1124"/>
      <c r="F41" s="1124"/>
      <c r="G41" s="1124"/>
      <c r="H41" s="1124"/>
      <c r="I41" s="1125"/>
      <c r="J41" s="1124"/>
      <c r="K41" s="1126"/>
      <c r="L41" s="1127"/>
      <c r="M41" s="1126"/>
      <c r="N41" s="1126"/>
      <c r="O41" s="1080"/>
      <c r="P41" s="1082"/>
      <c r="Q41" s="1257"/>
    </row>
    <row r="42" spans="1:17" ht="15.75">
      <c r="A42" s="1794"/>
      <c r="B42" s="1968"/>
      <c r="C42" s="1968"/>
      <c r="D42" s="1968"/>
      <c r="E42" s="1968"/>
      <c r="F42" s="1968"/>
      <c r="G42" s="1968"/>
      <c r="H42" s="1968"/>
      <c r="I42" s="1968"/>
      <c r="J42" s="1968"/>
      <c r="K42" s="1080"/>
      <c r="L42" s="1080"/>
      <c r="M42" s="1080"/>
      <c r="N42" s="1080"/>
      <c r="O42" s="1071" t="s">
        <v>700</v>
      </c>
      <c r="P42" s="1082"/>
      <c r="Q42" s="1257"/>
    </row>
    <row r="43" spans="1:17" ht="16.5" thickBot="1">
      <c r="A43" s="1128"/>
      <c r="B43" s="1129"/>
      <c r="C43" s="1129"/>
      <c r="D43" s="1129"/>
      <c r="E43" s="1129"/>
      <c r="F43" s="1129"/>
      <c r="G43" s="1129"/>
      <c r="H43" s="1129"/>
      <c r="I43" s="1130"/>
      <c r="J43" s="1129"/>
      <c r="K43" s="1129"/>
      <c r="L43" s="1129"/>
      <c r="M43" s="1129"/>
      <c r="N43" s="1129"/>
      <c r="O43" s="1129"/>
      <c r="P43" s="1131"/>
      <c r="Q43" s="1258"/>
    </row>
    <row r="44" spans="1:17" hidden="1"/>
    <row r="45" spans="1:17" hidden="1">
      <c r="L45" s="551">
        <f>K37-I37</f>
        <v>76.507732802001556</v>
      </c>
      <c r="M45" s="551">
        <f>M37-K37</f>
        <v>32.858900000001086</v>
      </c>
      <c r="N45" s="551">
        <f>O37-M37</f>
        <v>24.192036799997368</v>
      </c>
    </row>
    <row r="46" spans="1:17" hidden="1"/>
    <row r="47" spans="1:17" hidden="1">
      <c r="Q47" s="551"/>
    </row>
    <row r="48" spans="1:17" hidden="1">
      <c r="L48" s="158">
        <v>5</v>
      </c>
      <c r="M48" s="158">
        <v>20</v>
      </c>
      <c r="N48" s="158">
        <v>2</v>
      </c>
      <c r="O48" s="158">
        <f>M48+N48</f>
        <v>22</v>
      </c>
    </row>
    <row r="49" spans="11:18" ht="14.45" hidden="1" customHeight="1">
      <c r="L49" s="158">
        <v>4</v>
      </c>
      <c r="M49" s="158">
        <v>50</v>
      </c>
      <c r="N49" s="158">
        <v>5</v>
      </c>
      <c r="O49" s="158">
        <f>M49+N49</f>
        <v>55</v>
      </c>
    </row>
    <row r="50" spans="11:18" hidden="1">
      <c r="L50" s="158">
        <v>4.5</v>
      </c>
      <c r="M50" s="158">
        <v>30</v>
      </c>
      <c r="N50" s="158">
        <v>3</v>
      </c>
      <c r="O50" s="158">
        <f>M50+N50</f>
        <v>33</v>
      </c>
    </row>
    <row r="51" spans="11:18" hidden="1"/>
    <row r="52" spans="11:18" hidden="1"/>
    <row r="53" spans="11:18" ht="14.45" hidden="1" customHeight="1">
      <c r="L53" s="158">
        <f>SUMPRODUCT(L48:L50,M48:M50)/SUM(M48:M50)</f>
        <v>4.3499999999999996</v>
      </c>
      <c r="M53" s="158">
        <v>10</v>
      </c>
    </row>
    <row r="54" spans="11:18" hidden="1"/>
    <row r="55" spans="11:18" hidden="1"/>
    <row r="56" spans="11:18" hidden="1"/>
    <row r="57" spans="11:18" hidden="1"/>
    <row r="58" spans="11:18" hidden="1"/>
    <row r="59" spans="11:18" hidden="1"/>
    <row r="60" spans="11:18" hidden="1"/>
    <row r="61" spans="11:18" hidden="1">
      <c r="K61" s="553" t="s">
        <v>975</v>
      </c>
      <c r="L61" s="553"/>
      <c r="M61" s="553"/>
      <c r="N61" s="553"/>
      <c r="O61" s="553"/>
      <c r="P61" s="553"/>
      <c r="R61" s="554"/>
    </row>
    <row r="62" spans="11:18" ht="24.6" hidden="1" customHeight="1">
      <c r="K62" s="555"/>
      <c r="L62" s="555"/>
      <c r="M62" s="555"/>
      <c r="N62" s="555"/>
      <c r="O62" s="555"/>
      <c r="P62" s="555"/>
      <c r="R62" s="555"/>
    </row>
    <row r="63" spans="11:18" ht="30" hidden="1">
      <c r="K63" s="556" t="s">
        <v>941</v>
      </c>
      <c r="L63" s="556" t="s">
        <v>942</v>
      </c>
      <c r="M63" s="557" t="s">
        <v>856</v>
      </c>
      <c r="N63" s="557" t="s">
        <v>857</v>
      </c>
      <c r="O63" s="557" t="s">
        <v>858</v>
      </c>
      <c r="P63" s="557" t="s">
        <v>859</v>
      </c>
      <c r="R63" s="555"/>
    </row>
    <row r="64" spans="11:18" ht="90" hidden="1">
      <c r="K64" s="556">
        <v>1</v>
      </c>
      <c r="L64" s="558" t="s">
        <v>943</v>
      </c>
      <c r="M64" s="556">
        <v>0</v>
      </c>
      <c r="N64" s="556">
        <v>0</v>
      </c>
      <c r="O64" s="556">
        <v>645.32000000000005</v>
      </c>
      <c r="P64" s="556">
        <v>0</v>
      </c>
      <c r="R64" s="555"/>
    </row>
    <row r="65" spans="11:18" ht="105" hidden="1">
      <c r="K65" s="556">
        <v>2</v>
      </c>
      <c r="L65" s="556" t="s">
        <v>944</v>
      </c>
      <c r="M65" s="556">
        <v>0</v>
      </c>
      <c r="N65" s="556">
        <v>19</v>
      </c>
      <c r="O65" s="556">
        <v>19</v>
      </c>
      <c r="P65" s="556">
        <v>0</v>
      </c>
      <c r="R65" s="555"/>
    </row>
    <row r="66" spans="11:18" ht="75" hidden="1">
      <c r="K66" s="556">
        <v>3</v>
      </c>
      <c r="L66" s="558" t="s">
        <v>945</v>
      </c>
      <c r="M66" s="556">
        <v>153.1</v>
      </c>
      <c r="N66" s="556">
        <v>82.95</v>
      </c>
      <c r="O66" s="556">
        <v>65.12</v>
      </c>
      <c r="P66" s="556">
        <v>0</v>
      </c>
      <c r="R66" s="555"/>
    </row>
    <row r="67" spans="11:18" ht="30" hidden="1">
      <c r="K67" s="556">
        <v>4</v>
      </c>
      <c r="L67" s="558" t="s">
        <v>946</v>
      </c>
      <c r="M67" s="556">
        <v>26.94</v>
      </c>
      <c r="N67" s="556">
        <v>24.5</v>
      </c>
      <c r="O67" s="556">
        <v>79.599999999999994</v>
      </c>
      <c r="P67" s="556">
        <v>0</v>
      </c>
      <c r="R67" s="555"/>
    </row>
    <row r="68" spans="11:18" ht="60" hidden="1">
      <c r="K68" s="556">
        <v>5</v>
      </c>
      <c r="L68" s="558" t="s">
        <v>947</v>
      </c>
      <c r="M68" s="556"/>
      <c r="N68" s="556"/>
      <c r="O68" s="556"/>
      <c r="P68" s="556"/>
      <c r="R68" s="555"/>
    </row>
    <row r="69" spans="11:18" ht="71.25" hidden="1">
      <c r="K69" s="562" t="s">
        <v>976</v>
      </c>
      <c r="L69" s="562" t="s">
        <v>949</v>
      </c>
      <c r="M69" s="563">
        <v>1.6</v>
      </c>
      <c r="N69" s="563">
        <v>0</v>
      </c>
      <c r="O69" s="563">
        <v>0</v>
      </c>
      <c r="P69" s="563">
        <v>0</v>
      </c>
      <c r="R69" s="564"/>
    </row>
    <row r="70" spans="11:18" ht="42.75" hidden="1">
      <c r="K70" s="562" t="s">
        <v>977</v>
      </c>
      <c r="L70" s="552" t="s">
        <v>950</v>
      </c>
      <c r="M70" s="563">
        <v>0.95</v>
      </c>
      <c r="N70" s="563">
        <v>0</v>
      </c>
      <c r="O70" s="563">
        <v>0</v>
      </c>
      <c r="P70" s="563">
        <v>0</v>
      </c>
      <c r="R70" s="564"/>
    </row>
    <row r="71" spans="11:18" ht="42.75" hidden="1">
      <c r="K71" s="562" t="s">
        <v>978</v>
      </c>
      <c r="L71" s="562" t="s">
        <v>951</v>
      </c>
      <c r="M71" s="563">
        <v>0.5</v>
      </c>
      <c r="N71" s="563">
        <v>0.5</v>
      </c>
      <c r="O71" s="563">
        <v>0</v>
      </c>
      <c r="P71" s="563">
        <v>0</v>
      </c>
      <c r="R71" s="564"/>
    </row>
    <row r="72" spans="11:18" ht="99.75" hidden="1">
      <c r="K72" s="562" t="s">
        <v>979</v>
      </c>
      <c r="L72" s="562" t="s">
        <v>952</v>
      </c>
      <c r="M72" s="563">
        <v>0.5</v>
      </c>
      <c r="N72" s="563">
        <v>0.5</v>
      </c>
      <c r="O72" s="563">
        <v>0</v>
      </c>
      <c r="P72" s="563">
        <v>0</v>
      </c>
      <c r="R72" s="564"/>
    </row>
    <row r="73" spans="11:18" ht="85.5" hidden="1">
      <c r="K73" s="562" t="s">
        <v>980</v>
      </c>
      <c r="L73" s="562" t="s">
        <v>953</v>
      </c>
      <c r="M73" s="563">
        <v>0.5</v>
      </c>
      <c r="N73" s="563">
        <v>0.5</v>
      </c>
      <c r="O73" s="563">
        <v>0</v>
      </c>
      <c r="P73" s="563">
        <v>0</v>
      </c>
      <c r="R73" s="564"/>
    </row>
    <row r="74" spans="11:18" ht="57" hidden="1">
      <c r="K74" s="562" t="s">
        <v>981</v>
      </c>
      <c r="L74" s="562" t="s">
        <v>954</v>
      </c>
      <c r="M74" s="563">
        <v>1.1499999999999999</v>
      </c>
      <c r="N74" s="563">
        <v>0</v>
      </c>
      <c r="O74" s="563">
        <v>0</v>
      </c>
      <c r="P74" s="563">
        <v>0</v>
      </c>
      <c r="R74" s="564"/>
    </row>
    <row r="75" spans="11:18" ht="57" hidden="1">
      <c r="K75" s="562" t="s">
        <v>982</v>
      </c>
      <c r="L75" s="562" t="s">
        <v>955</v>
      </c>
      <c r="M75" s="563">
        <v>4</v>
      </c>
      <c r="N75" s="563">
        <v>1.86</v>
      </c>
      <c r="O75" s="563">
        <v>0</v>
      </c>
      <c r="P75" s="563">
        <v>0</v>
      </c>
      <c r="R75" s="564"/>
    </row>
    <row r="76" spans="11:18" ht="57" hidden="1">
      <c r="K76" s="562" t="s">
        <v>983</v>
      </c>
      <c r="L76" s="562" t="s">
        <v>956</v>
      </c>
      <c r="M76" s="563">
        <v>3</v>
      </c>
      <c r="N76" s="563">
        <v>4</v>
      </c>
      <c r="O76" s="563">
        <v>3</v>
      </c>
      <c r="P76" s="563">
        <v>0</v>
      </c>
      <c r="R76" s="564"/>
    </row>
    <row r="77" spans="11:18" ht="99.75" hidden="1">
      <c r="K77" s="562" t="s">
        <v>984</v>
      </c>
      <c r="L77" s="562" t="s">
        <v>957</v>
      </c>
      <c r="M77" s="563">
        <v>5</v>
      </c>
      <c r="N77" s="563">
        <v>5</v>
      </c>
      <c r="O77" s="563">
        <v>5</v>
      </c>
      <c r="P77" s="563">
        <v>0</v>
      </c>
      <c r="R77" s="564"/>
    </row>
    <row r="78" spans="11:18" ht="57" hidden="1">
      <c r="K78" s="562" t="s">
        <v>985</v>
      </c>
      <c r="L78" s="552" t="s">
        <v>958</v>
      </c>
      <c r="M78" s="563">
        <v>0</v>
      </c>
      <c r="N78" s="563">
        <v>1.62</v>
      </c>
      <c r="O78" s="563">
        <v>0</v>
      </c>
      <c r="P78" s="563">
        <v>0</v>
      </c>
      <c r="R78" s="564"/>
    </row>
    <row r="79" spans="11:18" ht="85.5" hidden="1">
      <c r="K79" s="562" t="s">
        <v>986</v>
      </c>
      <c r="L79" s="552" t="s">
        <v>959</v>
      </c>
      <c r="M79" s="563">
        <v>0</v>
      </c>
      <c r="N79" s="563">
        <v>3</v>
      </c>
      <c r="O79" s="563">
        <v>0</v>
      </c>
      <c r="P79" s="563">
        <v>0</v>
      </c>
      <c r="R79" s="564"/>
    </row>
    <row r="80" spans="11:18" ht="85.5" hidden="1">
      <c r="K80" s="562" t="s">
        <v>987</v>
      </c>
      <c r="L80" s="552" t="s">
        <v>960</v>
      </c>
      <c r="M80" s="563">
        <v>0.6</v>
      </c>
      <c r="N80" s="563">
        <v>0.6</v>
      </c>
      <c r="O80" s="563">
        <v>0</v>
      </c>
      <c r="P80" s="563">
        <v>0</v>
      </c>
      <c r="R80" s="564"/>
    </row>
    <row r="81" spans="11:18" ht="71.25" hidden="1">
      <c r="K81" s="562" t="s">
        <v>988</v>
      </c>
      <c r="L81" s="552" t="s">
        <v>961</v>
      </c>
      <c r="M81" s="563">
        <v>0.6</v>
      </c>
      <c r="N81" s="563">
        <v>0.4</v>
      </c>
      <c r="O81" s="563">
        <v>0</v>
      </c>
      <c r="P81" s="563">
        <v>0</v>
      </c>
      <c r="R81" s="564"/>
    </row>
    <row r="82" spans="11:18" ht="42.75" hidden="1">
      <c r="K82" s="562" t="s">
        <v>586</v>
      </c>
      <c r="L82" s="552" t="s">
        <v>962</v>
      </c>
      <c r="M82" s="563">
        <v>0.63</v>
      </c>
      <c r="N82" s="563">
        <v>0</v>
      </c>
      <c r="O82" s="563">
        <v>0</v>
      </c>
      <c r="P82" s="563">
        <v>0</v>
      </c>
      <c r="R82" s="564"/>
    </row>
    <row r="83" spans="11:18" ht="199.5" hidden="1">
      <c r="K83" s="562" t="s">
        <v>989</v>
      </c>
      <c r="L83" s="552" t="s">
        <v>963</v>
      </c>
      <c r="M83" s="563">
        <v>1.5</v>
      </c>
      <c r="N83" s="563">
        <v>1.5</v>
      </c>
      <c r="O83" s="563">
        <v>0</v>
      </c>
      <c r="P83" s="563">
        <v>0</v>
      </c>
      <c r="R83" s="564"/>
    </row>
    <row r="84" spans="11:18" ht="71.25" hidden="1">
      <c r="K84" s="562" t="s">
        <v>990</v>
      </c>
      <c r="L84" s="552" t="s">
        <v>964</v>
      </c>
      <c r="M84" s="563">
        <v>1</v>
      </c>
      <c r="N84" s="563">
        <v>0.5</v>
      </c>
      <c r="O84" s="563">
        <v>0</v>
      </c>
      <c r="P84" s="563">
        <v>0</v>
      </c>
      <c r="R84" s="564"/>
    </row>
    <row r="85" spans="11:18" ht="57" hidden="1">
      <c r="K85" s="562" t="s">
        <v>991</v>
      </c>
      <c r="L85" s="552" t="s">
        <v>965</v>
      </c>
      <c r="M85" s="563">
        <v>2.48</v>
      </c>
      <c r="N85" s="563">
        <v>0</v>
      </c>
      <c r="O85" s="563">
        <v>0</v>
      </c>
      <c r="P85" s="563">
        <v>0</v>
      </c>
      <c r="R85" s="564"/>
    </row>
    <row r="86" spans="11:18" ht="114" hidden="1">
      <c r="K86" s="562" t="s">
        <v>992</v>
      </c>
      <c r="L86" s="552" t="s">
        <v>966</v>
      </c>
      <c r="M86" s="563">
        <v>2.9</v>
      </c>
      <c r="N86" s="563">
        <v>1</v>
      </c>
      <c r="O86" s="563">
        <v>0</v>
      </c>
      <c r="P86" s="563">
        <v>0</v>
      </c>
      <c r="R86" s="564"/>
    </row>
    <row r="87" spans="11:18" ht="75" hidden="1">
      <c r="K87" s="556"/>
      <c r="L87" s="558" t="s">
        <v>974</v>
      </c>
      <c r="M87" s="563">
        <f>SUM(M69:M86)</f>
        <v>26.91</v>
      </c>
      <c r="N87" s="563">
        <f t="shared" ref="N87:P87" si="9">SUM(N69:N86)</f>
        <v>20.98</v>
      </c>
      <c r="O87" s="563">
        <f t="shared" si="9"/>
        <v>8</v>
      </c>
      <c r="P87" s="563">
        <f t="shared" si="9"/>
        <v>0</v>
      </c>
      <c r="R87" s="566"/>
    </row>
    <row r="88" spans="11:18" ht="45" hidden="1">
      <c r="K88" s="556">
        <v>6</v>
      </c>
      <c r="L88" s="556" t="s">
        <v>948</v>
      </c>
      <c r="M88" s="563"/>
      <c r="N88" s="563"/>
      <c r="O88" s="563"/>
      <c r="P88" s="563"/>
      <c r="R88" s="566"/>
    </row>
    <row r="89" spans="11:18" ht="180" hidden="1">
      <c r="K89" s="567" t="s">
        <v>976</v>
      </c>
      <c r="L89" s="565" t="s">
        <v>967</v>
      </c>
      <c r="M89" s="561">
        <v>2.5</v>
      </c>
      <c r="N89" s="561">
        <v>3</v>
      </c>
      <c r="O89" s="561">
        <v>3.64</v>
      </c>
      <c r="P89" s="561">
        <v>0</v>
      </c>
      <c r="R89" s="568"/>
    </row>
    <row r="90" spans="11:18" ht="390" hidden="1">
      <c r="K90" s="567" t="s">
        <v>977</v>
      </c>
      <c r="L90" s="565" t="s">
        <v>968</v>
      </c>
      <c r="M90" s="561">
        <v>3.1579999999999999</v>
      </c>
      <c r="N90" s="561">
        <v>4</v>
      </c>
      <c r="O90" s="561">
        <v>2.5</v>
      </c>
      <c r="P90" s="561">
        <v>0</v>
      </c>
      <c r="R90" s="568"/>
    </row>
    <row r="91" spans="11:18" ht="60" hidden="1">
      <c r="K91" s="567" t="s">
        <v>978</v>
      </c>
      <c r="L91" s="567" t="s">
        <v>969</v>
      </c>
      <c r="M91" s="561">
        <v>0.25</v>
      </c>
      <c r="N91" s="561">
        <v>0</v>
      </c>
      <c r="O91" s="561">
        <v>0</v>
      </c>
      <c r="P91" s="561">
        <v>0</v>
      </c>
      <c r="R91" s="568"/>
    </row>
    <row r="92" spans="11:18" ht="105" hidden="1">
      <c r="K92" s="567" t="s">
        <v>979</v>
      </c>
      <c r="L92" s="565" t="s">
        <v>1440</v>
      </c>
      <c r="M92" s="561">
        <v>0.6</v>
      </c>
      <c r="N92" s="561">
        <v>0.4</v>
      </c>
      <c r="O92" s="561">
        <v>0</v>
      </c>
      <c r="P92" s="561">
        <v>0</v>
      </c>
      <c r="R92" s="568"/>
    </row>
    <row r="93" spans="11:18" ht="75" hidden="1">
      <c r="K93" s="567" t="s">
        <v>980</v>
      </c>
      <c r="L93" s="565" t="s">
        <v>970</v>
      </c>
      <c r="M93" s="561">
        <v>0.3</v>
      </c>
      <c r="N93" s="561">
        <v>0.2</v>
      </c>
      <c r="O93" s="561">
        <v>0</v>
      </c>
      <c r="P93" s="561">
        <v>0</v>
      </c>
      <c r="R93" s="568"/>
    </row>
    <row r="94" spans="11:18" ht="90" hidden="1">
      <c r="K94" s="567" t="s">
        <v>981</v>
      </c>
      <c r="L94" s="565" t="s">
        <v>971</v>
      </c>
      <c r="M94" s="561">
        <v>0</v>
      </c>
      <c r="N94" s="561">
        <v>1</v>
      </c>
      <c r="O94" s="561">
        <v>0</v>
      </c>
      <c r="P94" s="561">
        <v>0</v>
      </c>
      <c r="R94" s="568"/>
    </row>
    <row r="95" spans="11:18" ht="75" hidden="1">
      <c r="K95" s="567" t="s">
        <v>982</v>
      </c>
      <c r="L95" s="565" t="s">
        <v>972</v>
      </c>
      <c r="M95" s="561">
        <v>0</v>
      </c>
      <c r="N95" s="561">
        <v>0.6</v>
      </c>
      <c r="O95" s="561">
        <v>0</v>
      </c>
      <c r="P95" s="561">
        <v>0</v>
      </c>
      <c r="R95" s="568"/>
    </row>
    <row r="96" spans="11:18" ht="45" hidden="1">
      <c r="K96" s="567" t="s">
        <v>983</v>
      </c>
      <c r="L96" s="565" t="s">
        <v>973</v>
      </c>
      <c r="M96" s="561">
        <v>1</v>
      </c>
      <c r="N96" s="561">
        <v>1</v>
      </c>
      <c r="O96" s="561">
        <v>0</v>
      </c>
      <c r="P96" s="561">
        <v>0</v>
      </c>
      <c r="R96" s="568"/>
    </row>
    <row r="97" spans="11:18" ht="60" hidden="1">
      <c r="K97" s="567"/>
      <c r="L97" s="556" t="s">
        <v>993</v>
      </c>
      <c r="M97" s="569">
        <f>SUM(M89:M96)</f>
        <v>7.8079999999999989</v>
      </c>
      <c r="N97" s="569">
        <f t="shared" ref="N97:P97" si="10">SUM(N89:N96)</f>
        <v>10.200000000000001</v>
      </c>
      <c r="O97" s="569">
        <f t="shared" si="10"/>
        <v>6.1400000000000006</v>
      </c>
      <c r="P97" s="569">
        <f t="shared" si="10"/>
        <v>0</v>
      </c>
      <c r="R97" s="566"/>
    </row>
    <row r="98" spans="11:18" hidden="1">
      <c r="K98" s="556"/>
      <c r="L98" s="556" t="s">
        <v>994</v>
      </c>
      <c r="M98" s="570">
        <f>M64+M65+M66+M67+M87+M97</f>
        <v>214.75799999999998</v>
      </c>
      <c r="N98" s="570">
        <f t="shared" ref="N98:P98" si="11">N64+N65+N66+N67+N87+N97</f>
        <v>157.63</v>
      </c>
      <c r="O98" s="570">
        <f t="shared" si="11"/>
        <v>823.18000000000006</v>
      </c>
      <c r="P98" s="570">
        <f t="shared" si="11"/>
        <v>0</v>
      </c>
      <c r="R98" s="555"/>
    </row>
    <row r="99" spans="11:18" hidden="1">
      <c r="K99" s="555"/>
      <c r="L99" s="555"/>
      <c r="M99" s="555"/>
      <c r="N99" s="555"/>
      <c r="O99" s="555"/>
      <c r="P99" s="555"/>
      <c r="R99" s="555"/>
    </row>
    <row r="100" spans="11:18" hidden="1">
      <c r="K100" s="555"/>
      <c r="L100" s="555"/>
      <c r="M100" s="555"/>
      <c r="N100" s="555"/>
      <c r="O100" s="555"/>
      <c r="P100" s="555"/>
      <c r="R100" s="571"/>
    </row>
    <row r="101" spans="11:18" hidden="1">
      <c r="K101" s="555"/>
      <c r="L101" s="555"/>
      <c r="M101" s="555"/>
      <c r="N101" s="555"/>
      <c r="O101" s="555"/>
      <c r="P101" s="555"/>
      <c r="R101" s="555"/>
    </row>
    <row r="102" spans="11:18" hidden="1">
      <c r="K102" s="555"/>
      <c r="L102" s="555"/>
      <c r="M102" s="557" t="s">
        <v>856</v>
      </c>
      <c r="N102" s="557" t="s">
        <v>857</v>
      </c>
      <c r="O102" s="557" t="s">
        <v>858</v>
      </c>
      <c r="P102" s="557"/>
      <c r="R102" s="555"/>
    </row>
    <row r="103" spans="11:18" ht="30" hidden="1">
      <c r="K103" s="572">
        <v>1</v>
      </c>
      <c r="L103" s="559" t="s">
        <v>450</v>
      </c>
      <c r="M103" s="1253">
        <v>56.75574780000079</v>
      </c>
      <c r="N103" s="1253">
        <v>13.829999999999927</v>
      </c>
      <c r="O103" s="1253">
        <v>10.047136799998952</v>
      </c>
      <c r="P103" s="561"/>
      <c r="R103" s="555"/>
    </row>
    <row r="104" spans="11:18" ht="30" hidden="1">
      <c r="K104" s="572">
        <v>2</v>
      </c>
      <c r="L104" s="559" t="s">
        <v>459</v>
      </c>
      <c r="M104" s="1253">
        <v>2.9250059999999394</v>
      </c>
      <c r="N104" s="1253">
        <v>0.24000000000000909</v>
      </c>
      <c r="O104" s="1253">
        <v>1.0199999999999818</v>
      </c>
      <c r="P104" s="563"/>
      <c r="R104" s="555"/>
    </row>
    <row r="105" spans="11:18" ht="18" hidden="1">
      <c r="K105" s="572">
        <v>3</v>
      </c>
      <c r="L105" s="573" t="s">
        <v>467</v>
      </c>
      <c r="M105" s="1253">
        <v>0</v>
      </c>
      <c r="N105" s="1253">
        <v>0</v>
      </c>
      <c r="O105" s="1253">
        <v>0</v>
      </c>
      <c r="P105" s="561"/>
      <c r="R105" s="555"/>
    </row>
    <row r="106" spans="11:18" ht="72" hidden="1">
      <c r="K106" s="572">
        <v>4</v>
      </c>
      <c r="L106" s="573" t="s">
        <v>468</v>
      </c>
      <c r="M106" s="1253">
        <v>3.3200000000000007E-2</v>
      </c>
      <c r="N106" s="1253">
        <v>0</v>
      </c>
      <c r="O106" s="1253">
        <v>0</v>
      </c>
      <c r="P106" s="561"/>
      <c r="R106" s="555"/>
    </row>
    <row r="107" spans="11:18" ht="90" hidden="1">
      <c r="K107" s="572">
        <v>5</v>
      </c>
      <c r="L107" s="573" t="s">
        <v>469</v>
      </c>
      <c r="M107" s="1253">
        <v>0</v>
      </c>
      <c r="N107" s="1253">
        <v>2.9000000000003467E-3</v>
      </c>
      <c r="O107" s="1253">
        <v>-2.9000000000003467E-3</v>
      </c>
      <c r="P107" s="561"/>
      <c r="R107" s="555"/>
    </row>
    <row r="108" spans="11:18" ht="28.5" hidden="1">
      <c r="K108" s="572">
        <v>6</v>
      </c>
      <c r="L108" s="552" t="s">
        <v>471</v>
      </c>
      <c r="M108" s="1253">
        <v>0.38000000000000078</v>
      </c>
      <c r="N108" s="1253">
        <v>0</v>
      </c>
      <c r="O108" s="1253">
        <v>0</v>
      </c>
      <c r="P108" s="563"/>
      <c r="R108" s="555"/>
    </row>
    <row r="109" spans="11:18" ht="108" hidden="1">
      <c r="K109" s="572">
        <v>7</v>
      </c>
      <c r="L109" s="573" t="s">
        <v>472</v>
      </c>
      <c r="M109" s="1253">
        <v>4.6117000000052144E-3</v>
      </c>
      <c r="N109" s="1253">
        <v>0</v>
      </c>
      <c r="O109" s="1253">
        <v>3.3599999999999994</v>
      </c>
      <c r="P109" s="561"/>
      <c r="R109" s="555"/>
    </row>
    <row r="110" spans="11:18" ht="36" hidden="1">
      <c r="K110" s="572">
        <v>8</v>
      </c>
      <c r="L110" s="573" t="s">
        <v>473</v>
      </c>
      <c r="M110" s="1253">
        <v>0</v>
      </c>
      <c r="N110" s="1253">
        <v>3.7999999999982492E-3</v>
      </c>
      <c r="O110" s="1253">
        <v>0</v>
      </c>
      <c r="P110" s="561"/>
      <c r="R110" s="555"/>
    </row>
    <row r="111" spans="11:18" ht="18" hidden="1">
      <c r="K111" s="572">
        <v>9</v>
      </c>
      <c r="L111" s="573" t="s">
        <v>474</v>
      </c>
      <c r="M111" s="1253">
        <v>3.0000000000001137E-2</v>
      </c>
      <c r="N111" s="1253">
        <v>0</v>
      </c>
      <c r="O111" s="1253">
        <v>0.32999999999999829</v>
      </c>
      <c r="P111" s="561"/>
      <c r="R111" s="555"/>
    </row>
    <row r="112" spans="11:18" ht="54" hidden="1">
      <c r="K112" s="572">
        <v>10</v>
      </c>
      <c r="L112" s="573" t="s">
        <v>475</v>
      </c>
      <c r="M112" s="1253">
        <v>-9.0000000000145519E-4</v>
      </c>
      <c r="N112" s="1253">
        <v>0</v>
      </c>
      <c r="O112" s="1253">
        <v>0</v>
      </c>
      <c r="P112" s="561"/>
      <c r="R112" s="555"/>
    </row>
    <row r="113" spans="11:18" ht="54" hidden="1">
      <c r="K113" s="572">
        <v>11</v>
      </c>
      <c r="L113" s="573" t="s">
        <v>476</v>
      </c>
      <c r="M113" s="1253">
        <v>8.6730200007423264E-4</v>
      </c>
      <c r="N113" s="1253">
        <v>0</v>
      </c>
      <c r="O113" s="1253">
        <v>0</v>
      </c>
      <c r="P113" s="561"/>
      <c r="R113" s="555"/>
    </row>
    <row r="114" spans="11:18" ht="42.75" hidden="1">
      <c r="K114" s="572">
        <v>12</v>
      </c>
      <c r="L114" s="552" t="s">
        <v>477</v>
      </c>
      <c r="M114" s="1253">
        <v>0.44999999999999996</v>
      </c>
      <c r="N114" s="1253">
        <v>8.6200000000000054E-2</v>
      </c>
      <c r="O114" s="1253">
        <v>0.18380000000000019</v>
      </c>
      <c r="P114" s="563"/>
      <c r="R114" s="555"/>
    </row>
    <row r="115" spans="11:18" ht="30" hidden="1">
      <c r="K115" s="572">
        <v>13</v>
      </c>
      <c r="L115" s="560" t="s">
        <v>478</v>
      </c>
      <c r="M115" s="1253">
        <f>8.79999999999995-2.78</f>
        <v>6.0199999999999498</v>
      </c>
      <c r="N115" s="1253">
        <v>15.400000000000034</v>
      </c>
      <c r="O115" s="1253">
        <v>0.33999999999997499</v>
      </c>
      <c r="P115" s="561"/>
      <c r="R115" s="555"/>
    </row>
    <row r="116" spans="11:18" ht="57" hidden="1">
      <c r="K116" s="572">
        <v>14</v>
      </c>
      <c r="L116" s="552" t="s">
        <v>626</v>
      </c>
      <c r="M116" s="1253">
        <v>2.5499999999999972</v>
      </c>
      <c r="N116" s="1253">
        <v>0.63999999999998636</v>
      </c>
      <c r="O116" s="1253">
        <v>4.480000000000004</v>
      </c>
      <c r="P116" s="563"/>
      <c r="R116" s="555"/>
    </row>
    <row r="117" spans="11:18" ht="30" hidden="1">
      <c r="K117" s="572">
        <v>15</v>
      </c>
      <c r="L117" s="565" t="s">
        <v>479</v>
      </c>
      <c r="M117" s="1253">
        <v>0</v>
      </c>
      <c r="N117" s="1253">
        <v>0</v>
      </c>
      <c r="O117" s="1253">
        <v>0</v>
      </c>
      <c r="P117" s="563"/>
      <c r="R117" s="555"/>
    </row>
    <row r="118" spans="11:18" ht="18" hidden="1">
      <c r="K118" s="572">
        <v>16</v>
      </c>
      <c r="L118" s="573" t="s">
        <v>480</v>
      </c>
      <c r="M118" s="1253">
        <v>2.2100000000000009</v>
      </c>
      <c r="N118" s="1253">
        <v>1.762</v>
      </c>
      <c r="O118" s="1253">
        <v>0.47000000000000242</v>
      </c>
      <c r="P118" s="561"/>
      <c r="R118" s="555"/>
    </row>
    <row r="119" spans="11:18" ht="72" hidden="1">
      <c r="K119" s="572">
        <v>17</v>
      </c>
      <c r="L119" s="573" t="s">
        <v>481</v>
      </c>
      <c r="M119" s="1253">
        <v>-8.9999999999990088E-4</v>
      </c>
      <c r="N119" s="1253">
        <v>0</v>
      </c>
      <c r="O119" s="1253">
        <v>0</v>
      </c>
      <c r="P119" s="561"/>
      <c r="R119" s="555"/>
    </row>
    <row r="120" spans="11:18" ht="90" hidden="1">
      <c r="K120" s="572">
        <v>18</v>
      </c>
      <c r="L120" s="573" t="s">
        <v>482</v>
      </c>
      <c r="M120" s="1253">
        <v>9.9999999996214228E-5</v>
      </c>
      <c r="N120" s="1253">
        <v>0</v>
      </c>
      <c r="O120" s="1253">
        <v>0</v>
      </c>
      <c r="P120" s="561"/>
      <c r="R120" s="555"/>
    </row>
    <row r="121" spans="11:18" ht="36" hidden="1">
      <c r="K121" s="572">
        <v>19</v>
      </c>
      <c r="L121" s="573" t="s">
        <v>483</v>
      </c>
      <c r="M121" s="1253">
        <v>0</v>
      </c>
      <c r="N121" s="1253">
        <v>0</v>
      </c>
      <c r="O121" s="1253">
        <v>0</v>
      </c>
      <c r="P121" s="561"/>
      <c r="R121" s="555"/>
    </row>
    <row r="122" spans="11:18" ht="42.75" hidden="1">
      <c r="K122" s="572">
        <v>20</v>
      </c>
      <c r="L122" s="552" t="s">
        <v>484</v>
      </c>
      <c r="M122" s="1253">
        <v>8.9999999999999858E-2</v>
      </c>
      <c r="N122" s="1253">
        <v>0.21999999999999975</v>
      </c>
      <c r="O122" s="1253">
        <v>6.0000000000000497E-2</v>
      </c>
      <c r="P122" s="563"/>
      <c r="R122" s="555"/>
    </row>
    <row r="123" spans="11:18" ht="28.5" hidden="1">
      <c r="K123" s="572">
        <v>21</v>
      </c>
      <c r="L123" s="552" t="s">
        <v>485</v>
      </c>
      <c r="M123" s="1253">
        <v>3.06</v>
      </c>
      <c r="N123" s="1253">
        <v>0.67</v>
      </c>
      <c r="O123" s="1253">
        <v>3.9</v>
      </c>
      <c r="P123" s="563"/>
      <c r="R123" s="555"/>
    </row>
    <row r="124" spans="11:18" ht="37.5" hidden="1">
      <c r="K124" s="572">
        <v>22</v>
      </c>
      <c r="L124" s="574" t="s">
        <v>627</v>
      </c>
      <c r="M124" s="1253"/>
      <c r="N124" s="1253"/>
      <c r="O124" s="1253"/>
      <c r="P124" s="561"/>
      <c r="R124" s="555"/>
    </row>
    <row r="125" spans="11:18" hidden="1">
      <c r="K125" s="555"/>
      <c r="L125" s="555"/>
      <c r="M125" s="1254">
        <f>SUM(M103:M124)</f>
        <v>74.50773280200076</v>
      </c>
      <c r="N125" s="1254">
        <f t="shared" ref="N125:O125" si="12">SUM(N103:N124)</f>
        <v>32.854899999999958</v>
      </c>
      <c r="O125" s="1254">
        <f t="shared" si="12"/>
        <v>24.188036799998912</v>
      </c>
      <c r="P125" s="571"/>
      <c r="R125" s="555"/>
    </row>
    <row r="126" spans="11:18" hidden="1"/>
  </sheetData>
  <mergeCells count="26">
    <mergeCell ref="A8:B8"/>
    <mergeCell ref="A41:A42"/>
    <mergeCell ref="B42:J42"/>
    <mergeCell ref="C10:C11"/>
    <mergeCell ref="A10:A11"/>
    <mergeCell ref="B10:B11"/>
    <mergeCell ref="E39:J39"/>
    <mergeCell ref="D10:D11"/>
    <mergeCell ref="E40:J40"/>
    <mergeCell ref="D38:E38"/>
    <mergeCell ref="A5:P5"/>
    <mergeCell ref="C7:P7"/>
    <mergeCell ref="P10:P11"/>
    <mergeCell ref="E10:E11"/>
    <mergeCell ref="O10:O11"/>
    <mergeCell ref="I10:I11"/>
    <mergeCell ref="F10:F11"/>
    <mergeCell ref="H10:H11"/>
    <mergeCell ref="J10:J11"/>
    <mergeCell ref="G10:G11"/>
    <mergeCell ref="K10:K11"/>
    <mergeCell ref="L10:L11"/>
    <mergeCell ref="N10:N11"/>
    <mergeCell ref="O9:P9"/>
    <mergeCell ref="M10:M11"/>
    <mergeCell ref="A7:B7"/>
  </mergeCells>
  <pageMargins left="0.7" right="0.7" top="0.75" bottom="0.75" header="0.3" footer="0.3"/>
  <pageSetup paperSize="9" scale="61" orientation="portrait" horizontalDpi="4294967293" r:id="rId1"/>
</worksheet>
</file>

<file path=xl/worksheets/sheet23.xml><?xml version="1.0" encoding="utf-8"?>
<worksheet xmlns="http://schemas.openxmlformats.org/spreadsheetml/2006/main" xmlns:r="http://schemas.openxmlformats.org/officeDocument/2006/relationships">
  <dimension ref="B1:Z111"/>
  <sheetViews>
    <sheetView topLeftCell="A25" zoomScale="130" zoomScaleNormal="130" workbookViewId="0">
      <selection activeCell="R40" sqref="R1:R1048576"/>
    </sheetView>
  </sheetViews>
  <sheetFormatPr defaultRowHeight="12.75"/>
  <cols>
    <col min="2" max="2" width="6.33203125" style="230" customWidth="1"/>
    <col min="3" max="3" width="42.33203125" customWidth="1"/>
    <col min="4" max="5" width="13.6640625" hidden="1" customWidth="1"/>
    <col min="6" max="7" width="14.33203125" hidden="1" customWidth="1"/>
    <col min="8" max="8" width="15" hidden="1" customWidth="1"/>
    <col min="9" max="9" width="15.83203125" hidden="1" customWidth="1"/>
    <col min="10" max="10" width="15.83203125" customWidth="1"/>
    <col min="11" max="11" width="19" bestFit="1" customWidth="1"/>
    <col min="12" max="12" width="19" customWidth="1"/>
    <col min="13" max="13" width="17.1640625" hidden="1" customWidth="1"/>
    <col min="14" max="14" width="15.83203125" customWidth="1"/>
    <col min="15" max="16" width="13.33203125" hidden="1" customWidth="1"/>
    <col min="17" max="17" width="0.1640625" customWidth="1"/>
    <col min="18" max="18" width="12.83203125" hidden="1" customWidth="1"/>
    <col min="19" max="19" width="15.33203125" hidden="1" customWidth="1"/>
    <col min="20" max="26" width="9.33203125" hidden="1" customWidth="1"/>
    <col min="27" max="27" width="0" hidden="1" customWidth="1"/>
  </cols>
  <sheetData>
    <row r="1" spans="2:25" ht="15.75">
      <c r="B1" s="1971" t="s">
        <v>743</v>
      </c>
      <c r="C1" s="1972"/>
      <c r="D1" s="1972"/>
      <c r="E1" s="1972"/>
      <c r="F1" s="1972"/>
      <c r="G1" s="1972"/>
      <c r="H1" s="1972"/>
      <c r="I1" s="1972"/>
      <c r="J1" s="1972"/>
      <c r="K1" s="1972"/>
      <c r="L1" s="1972"/>
      <c r="M1" s="1972"/>
      <c r="N1" s="1972"/>
      <c r="O1" s="1972"/>
      <c r="P1" s="1973"/>
      <c r="Q1" s="152"/>
    </row>
    <row r="2" spans="2:25" ht="15.75">
      <c r="B2" s="1974" t="s">
        <v>767</v>
      </c>
      <c r="C2" s="1975"/>
      <c r="D2" s="1975"/>
      <c r="E2" s="1975"/>
      <c r="F2" s="1975"/>
      <c r="G2" s="1975"/>
      <c r="H2" s="1975"/>
      <c r="I2" s="1975"/>
      <c r="J2" s="1975"/>
      <c r="K2" s="1975"/>
      <c r="L2" s="1975"/>
      <c r="M2" s="1975"/>
      <c r="N2" s="1975"/>
      <c r="O2" s="1975"/>
      <c r="P2" s="1976"/>
      <c r="Q2" s="799"/>
    </row>
    <row r="3" spans="2:25" ht="15.75">
      <c r="B3" s="1983" t="s">
        <v>1407</v>
      </c>
      <c r="C3" s="1984"/>
      <c r="D3" s="1984"/>
      <c r="E3" s="1984"/>
      <c r="F3" s="1984"/>
      <c r="G3" s="1984"/>
      <c r="H3" s="1984"/>
      <c r="I3" s="1984"/>
      <c r="J3" s="1984"/>
      <c r="K3" s="1984"/>
      <c r="L3" s="1984"/>
      <c r="M3" s="1984"/>
      <c r="N3" s="1984"/>
      <c r="O3" s="1984"/>
      <c r="P3" s="1985"/>
      <c r="Q3" s="799"/>
    </row>
    <row r="4" spans="2:25" ht="15.75">
      <c r="B4" s="1482"/>
      <c r="C4" s="1483"/>
      <c r="D4" s="1483"/>
      <c r="E4" s="1483"/>
      <c r="F4" s="1483"/>
      <c r="G4" s="1483"/>
      <c r="H4" s="1483"/>
      <c r="I4" s="1483"/>
      <c r="J4" s="1483"/>
      <c r="K4" s="1483"/>
      <c r="L4" s="1483"/>
      <c r="M4" s="1483"/>
      <c r="N4" s="1483"/>
      <c r="O4" s="1360"/>
      <c r="P4" s="1357"/>
      <c r="Q4" s="799"/>
    </row>
    <row r="5" spans="2:25" ht="15.75">
      <c r="B5" s="1723" t="s">
        <v>893</v>
      </c>
      <c r="C5" s="1724"/>
      <c r="D5" s="1724"/>
      <c r="E5" s="1724"/>
      <c r="F5" s="1724"/>
      <c r="G5" s="1724"/>
      <c r="H5" s="1724"/>
      <c r="I5" s="1724"/>
      <c r="J5" s="1724"/>
      <c r="K5" s="1724"/>
      <c r="L5" s="1724"/>
      <c r="M5" s="1724"/>
      <c r="N5" s="1724"/>
      <c r="O5" s="1724"/>
      <c r="P5" s="1725"/>
      <c r="Q5" s="799"/>
    </row>
    <row r="6" spans="2:25" ht="15.75">
      <c r="B6" s="1723" t="s">
        <v>894</v>
      </c>
      <c r="C6" s="1724"/>
      <c r="D6" s="1724"/>
      <c r="E6" s="1724"/>
      <c r="F6" s="1724"/>
      <c r="G6" s="1724"/>
      <c r="H6" s="1724"/>
      <c r="I6" s="1724"/>
      <c r="J6" s="1724"/>
      <c r="K6" s="1724"/>
      <c r="L6" s="1724"/>
      <c r="M6" s="1724"/>
      <c r="N6" s="1724"/>
      <c r="O6" s="1724"/>
      <c r="P6" s="1725"/>
      <c r="Q6" s="799"/>
    </row>
    <row r="7" spans="2:25" ht="15.75">
      <c r="B7" s="763"/>
      <c r="C7" s="1484"/>
      <c r="D7" s="1484"/>
      <c r="E7" s="1484"/>
      <c r="F7" s="1484"/>
      <c r="G7" s="1484"/>
      <c r="H7" s="1484"/>
      <c r="I7" s="1484"/>
      <c r="J7" s="1484"/>
      <c r="K7" s="1484"/>
      <c r="L7" s="1484"/>
      <c r="M7" s="1484"/>
      <c r="N7" s="1484"/>
      <c r="O7" s="1360"/>
      <c r="P7" s="1357"/>
      <c r="Q7" s="799"/>
    </row>
    <row r="8" spans="2:25" ht="19.5" customHeight="1">
      <c r="B8" s="1981" t="s">
        <v>768</v>
      </c>
      <c r="C8" s="1761" t="s">
        <v>376</v>
      </c>
      <c r="D8" s="741" t="s">
        <v>529</v>
      </c>
      <c r="E8" s="741" t="s">
        <v>553</v>
      </c>
      <c r="F8" s="1352" t="s">
        <v>554</v>
      </c>
      <c r="G8" s="1352" t="s">
        <v>551</v>
      </c>
      <c r="H8" s="1352" t="s">
        <v>529</v>
      </c>
      <c r="I8" s="1352" t="s">
        <v>529</v>
      </c>
      <c r="J8" s="1352" t="s">
        <v>529</v>
      </c>
      <c r="K8" s="1749" t="s">
        <v>1095</v>
      </c>
      <c r="L8" s="1750"/>
      <c r="M8" s="1752"/>
      <c r="N8" s="1352" t="s">
        <v>529</v>
      </c>
      <c r="O8" s="1352" t="s">
        <v>529</v>
      </c>
      <c r="P8" s="474" t="s">
        <v>529</v>
      </c>
      <c r="Q8" s="799"/>
    </row>
    <row r="9" spans="2:25" ht="78.75">
      <c r="B9" s="1982"/>
      <c r="C9" s="1761"/>
      <c r="D9" s="741" t="s">
        <v>531</v>
      </c>
      <c r="E9" s="741"/>
      <c r="F9" s="1980" t="s">
        <v>689</v>
      </c>
      <c r="G9" s="1980"/>
      <c r="H9" s="741" t="s">
        <v>533</v>
      </c>
      <c r="I9" s="741" t="s">
        <v>534</v>
      </c>
      <c r="J9" s="1352" t="s">
        <v>1096</v>
      </c>
      <c r="K9" s="1352" t="s">
        <v>1279</v>
      </c>
      <c r="L9" s="1352" t="s">
        <v>1280</v>
      </c>
      <c r="M9" s="1485" t="s">
        <v>1100</v>
      </c>
      <c r="N9" s="1485" t="s">
        <v>1097</v>
      </c>
      <c r="O9" s="1485" t="s">
        <v>1101</v>
      </c>
      <c r="P9" s="1486" t="s">
        <v>1102</v>
      </c>
      <c r="Q9" s="799"/>
    </row>
    <row r="10" spans="2:25" ht="15.75">
      <c r="B10" s="507">
        <v>1</v>
      </c>
      <c r="C10" s="741">
        <v>2</v>
      </c>
      <c r="D10" s="741">
        <v>5</v>
      </c>
      <c r="E10" s="741"/>
      <c r="F10" s="741">
        <v>3</v>
      </c>
      <c r="G10" s="741">
        <v>4</v>
      </c>
      <c r="H10" s="741">
        <v>5</v>
      </c>
      <c r="I10" s="741">
        <v>6</v>
      </c>
      <c r="J10" s="741">
        <v>3</v>
      </c>
      <c r="K10" s="270">
        <v>4</v>
      </c>
      <c r="L10" s="270">
        <v>5</v>
      </c>
      <c r="M10" s="270">
        <v>10</v>
      </c>
      <c r="N10" s="270">
        <v>6</v>
      </c>
      <c r="O10" s="270">
        <v>7</v>
      </c>
      <c r="P10" s="1487">
        <v>8</v>
      </c>
      <c r="Q10" s="799"/>
    </row>
    <row r="11" spans="2:25" ht="15.75">
      <c r="B11" s="1488"/>
      <c r="C11" s="1353"/>
      <c r="D11" s="741" t="s">
        <v>552</v>
      </c>
      <c r="E11" s="741" t="s">
        <v>552</v>
      </c>
      <c r="F11" s="741" t="s">
        <v>552</v>
      </c>
      <c r="G11" s="741" t="s">
        <v>552</v>
      </c>
      <c r="H11" s="741" t="s">
        <v>552</v>
      </c>
      <c r="I11" s="741" t="s">
        <v>552</v>
      </c>
      <c r="J11" s="741" t="s">
        <v>552</v>
      </c>
      <c r="K11" s="741" t="s">
        <v>552</v>
      </c>
      <c r="L11" s="741" t="s">
        <v>552</v>
      </c>
      <c r="M11" s="741" t="s">
        <v>552</v>
      </c>
      <c r="N11" s="741" t="s">
        <v>552</v>
      </c>
      <c r="O11" s="741" t="s">
        <v>552</v>
      </c>
      <c r="P11" s="890" t="s">
        <v>552</v>
      </c>
      <c r="Q11" s="799"/>
    </row>
    <row r="12" spans="2:25" ht="15.75">
      <c r="B12" s="507"/>
      <c r="C12" s="741" t="s">
        <v>676</v>
      </c>
      <c r="D12" s="741"/>
      <c r="E12" s="741"/>
      <c r="F12" s="741">
        <v>68</v>
      </c>
      <c r="G12" s="741">
        <v>120</v>
      </c>
      <c r="H12" s="741">
        <v>365</v>
      </c>
      <c r="I12" s="741">
        <v>365</v>
      </c>
      <c r="J12" s="741">
        <v>366</v>
      </c>
      <c r="K12" s="343">
        <v>197</v>
      </c>
      <c r="L12" s="343">
        <f>365-K12</f>
        <v>168</v>
      </c>
      <c r="M12" s="343">
        <v>365</v>
      </c>
      <c r="N12" s="343">
        <v>365</v>
      </c>
      <c r="O12" s="343">
        <v>365</v>
      </c>
      <c r="P12" s="877">
        <v>366</v>
      </c>
      <c r="Q12" s="799"/>
    </row>
    <row r="13" spans="2:25" ht="15.75">
      <c r="B13" s="507">
        <v>1</v>
      </c>
      <c r="C13" s="1489" t="s">
        <v>669</v>
      </c>
      <c r="D13" s="741"/>
      <c r="E13" s="741"/>
      <c r="F13" s="741"/>
      <c r="G13" s="741"/>
      <c r="H13" s="741"/>
      <c r="I13" s="741"/>
      <c r="J13" s="741"/>
      <c r="K13" s="235"/>
      <c r="L13" s="235"/>
      <c r="M13" s="235"/>
      <c r="N13" s="235"/>
      <c r="O13" s="235"/>
      <c r="P13" s="913"/>
      <c r="Q13" s="799"/>
      <c r="S13" s="339">
        <v>42750</v>
      </c>
      <c r="T13" s="339">
        <v>42706</v>
      </c>
      <c r="U13" s="340">
        <f>S13-T13+1</f>
        <v>45</v>
      </c>
    </row>
    <row r="14" spans="2:25" ht="15.75">
      <c r="B14" s="507"/>
      <c r="C14" s="1489" t="s">
        <v>536</v>
      </c>
      <c r="D14" s="1490">
        <v>3478.66</v>
      </c>
      <c r="E14" s="1490"/>
      <c r="F14" s="1132">
        <v>3980</v>
      </c>
      <c r="G14" s="1132">
        <f>F14</f>
        <v>3980</v>
      </c>
      <c r="H14" s="1132">
        <v>3980</v>
      </c>
      <c r="I14" s="1132">
        <f>H14+H17</f>
        <v>3980</v>
      </c>
      <c r="J14" s="1132">
        <f t="shared" ref="J14:K15" si="0">I14+I17</f>
        <v>3980</v>
      </c>
      <c r="K14" s="1132">
        <f t="shared" si="0"/>
        <v>3980</v>
      </c>
      <c r="L14" s="1132"/>
      <c r="M14" s="1132"/>
      <c r="N14" s="1132"/>
      <c r="O14" s="1132"/>
      <c r="P14" s="889"/>
      <c r="Q14" s="799"/>
    </row>
    <row r="15" spans="2:25" ht="31.5">
      <c r="B15" s="507"/>
      <c r="C15" s="1447" t="s">
        <v>537</v>
      </c>
      <c r="D15" s="1491" t="s">
        <v>470</v>
      </c>
      <c r="E15" s="1491"/>
      <c r="F15" s="741">
        <v>0</v>
      </c>
      <c r="G15" s="741">
        <v>0</v>
      </c>
      <c r="H15" s="741">
        <f>G15+G18</f>
        <v>82.917000000000002</v>
      </c>
      <c r="I15" s="402">
        <f>H15+H18</f>
        <v>414.58366666666666</v>
      </c>
      <c r="J15" s="828">
        <f t="shared" si="0"/>
        <v>746.2503333333334</v>
      </c>
      <c r="K15" s="828">
        <f t="shared" si="0"/>
        <v>1077.9303333333335</v>
      </c>
      <c r="L15" s="828"/>
      <c r="M15" s="828"/>
      <c r="N15" s="828"/>
      <c r="O15" s="402"/>
      <c r="P15" s="1133"/>
      <c r="Q15" s="799"/>
      <c r="V15" s="149" t="s">
        <v>672</v>
      </c>
      <c r="W15" t="s">
        <v>673</v>
      </c>
      <c r="X15" t="s">
        <v>674</v>
      </c>
      <c r="Y15" t="s">
        <v>675</v>
      </c>
    </row>
    <row r="16" spans="2:25" ht="15.75">
      <c r="B16" s="507"/>
      <c r="C16" s="1447" t="s">
        <v>539</v>
      </c>
      <c r="D16" s="1490">
        <v>3478.66</v>
      </c>
      <c r="E16" s="1490"/>
      <c r="F16" s="1132">
        <f>F14-F15</f>
        <v>3980</v>
      </c>
      <c r="G16" s="1132">
        <f>G14-G15</f>
        <v>3980</v>
      </c>
      <c r="H16" s="1132">
        <f>H14-H15</f>
        <v>3897.0830000000001</v>
      </c>
      <c r="I16" s="1132">
        <f>I14-I15</f>
        <v>3565.4163333333336</v>
      </c>
      <c r="J16" s="1492">
        <f t="shared" ref="J16:K16" si="1">J14-J15</f>
        <v>3233.7496666666666</v>
      </c>
      <c r="K16" s="1492">
        <f t="shared" si="1"/>
        <v>2902.0696666666663</v>
      </c>
      <c r="L16" s="1492"/>
      <c r="M16" s="1492"/>
      <c r="N16" s="1492"/>
      <c r="O16" s="1132"/>
      <c r="P16" s="889"/>
      <c r="Q16" s="799"/>
      <c r="S16" s="329">
        <v>42644</v>
      </c>
      <c r="T16" s="329">
        <v>42735</v>
      </c>
      <c r="U16">
        <f>T16-S16+1</f>
        <v>92</v>
      </c>
      <c r="V16" s="330">
        <f>579623022+618648190</f>
        <v>1198271212</v>
      </c>
      <c r="W16">
        <f>55435164+59130838</f>
        <v>114566002</v>
      </c>
      <c r="X16">
        <f>17179330+18247420</f>
        <v>35426750</v>
      </c>
      <c r="Y16">
        <f>SUM(V16:X16)</f>
        <v>1348263964</v>
      </c>
    </row>
    <row r="17" spans="2:25" ht="15.75">
      <c r="B17" s="507"/>
      <c r="C17" s="1447" t="s">
        <v>540</v>
      </c>
      <c r="D17" s="1491">
        <v>501.34</v>
      </c>
      <c r="E17" s="1491"/>
      <c r="F17" s="741">
        <v>0</v>
      </c>
      <c r="G17" s="741">
        <v>0</v>
      </c>
      <c r="H17" s="741">
        <v>0</v>
      </c>
      <c r="I17" s="741">
        <v>0</v>
      </c>
      <c r="J17" s="1493">
        <v>0</v>
      </c>
      <c r="K17" s="1493">
        <v>72.349999999999994</v>
      </c>
      <c r="L17" s="1493"/>
      <c r="M17" s="1493"/>
      <c r="N17" s="1493"/>
      <c r="O17" s="1493"/>
      <c r="P17" s="1494"/>
      <c r="Q17" s="799"/>
      <c r="S17" s="329">
        <f>T16+1</f>
        <v>42736</v>
      </c>
      <c r="T17" s="329">
        <v>42825</v>
      </c>
      <c r="U17">
        <f>T17-S17+1</f>
        <v>90</v>
      </c>
      <c r="V17" s="330">
        <v>903166958</v>
      </c>
      <c r="W17">
        <v>122197078</v>
      </c>
      <c r="X17">
        <v>40613300</v>
      </c>
      <c r="Y17">
        <f>SUM(V17:X17)</f>
        <v>1065977336</v>
      </c>
    </row>
    <row r="18" spans="2:25" ht="31.5">
      <c r="B18" s="507"/>
      <c r="C18" s="1447" t="s">
        <v>541</v>
      </c>
      <c r="D18" s="1491">
        <v>0</v>
      </c>
      <c r="E18" s="1491"/>
      <c r="F18" s="741">
        <v>0</v>
      </c>
      <c r="G18" s="741">
        <v>82.917000000000002</v>
      </c>
      <c r="H18" s="402">
        <f>H14/12</f>
        <v>331.66666666666669</v>
      </c>
      <c r="I18" s="402">
        <f>H18</f>
        <v>331.66666666666669</v>
      </c>
      <c r="J18" s="828">
        <f>82.92*4</f>
        <v>331.68</v>
      </c>
      <c r="K18" s="828">
        <f>82.92</f>
        <v>82.92</v>
      </c>
      <c r="L18" s="828"/>
      <c r="M18" s="828"/>
      <c r="N18" s="828"/>
      <c r="O18" s="828"/>
      <c r="P18" s="914"/>
      <c r="Q18" s="799"/>
    </row>
    <row r="19" spans="2:25" ht="15.75">
      <c r="B19" s="507"/>
      <c r="C19" s="1447" t="s">
        <v>542</v>
      </c>
      <c r="D19" s="1490">
        <f>D16+D17-D18</f>
        <v>3980</v>
      </c>
      <c r="E19" s="1490"/>
      <c r="F19" s="1132">
        <f>F16+F17-F18</f>
        <v>3980</v>
      </c>
      <c r="G19" s="1132">
        <f>G16+G17-G18</f>
        <v>3897.0830000000001</v>
      </c>
      <c r="H19" s="1132">
        <f>H16+H17-H18</f>
        <v>3565.4163333333336</v>
      </c>
      <c r="I19" s="1132">
        <f>I16+I17-I18</f>
        <v>3233.7496666666671</v>
      </c>
      <c r="J19" s="1492">
        <f t="shared" ref="J19:K19" si="2">J16+J17-J18</f>
        <v>2902.0696666666668</v>
      </c>
      <c r="K19" s="1492">
        <f t="shared" si="2"/>
        <v>2891.4996666666661</v>
      </c>
      <c r="L19" s="1492"/>
      <c r="M19" s="1492"/>
      <c r="N19" s="1492"/>
      <c r="O19" s="1492"/>
      <c r="P19" s="1495"/>
      <c r="Q19" s="799"/>
    </row>
    <row r="20" spans="2:25" ht="15.75">
      <c r="B20" s="507"/>
      <c r="C20" s="1447" t="s">
        <v>543</v>
      </c>
      <c r="D20" s="1490">
        <f>AVERAGE(D16,D19)</f>
        <v>3729.33</v>
      </c>
      <c r="E20" s="1490"/>
      <c r="F20" s="1132">
        <f>AVERAGE(F16,F19)</f>
        <v>3980</v>
      </c>
      <c r="G20" s="1132">
        <f>(G16*45+G19*75)/120</f>
        <v>3928.1768750000001</v>
      </c>
      <c r="H20" s="1132">
        <f>AVERAGE(H16,H19)</f>
        <v>3731.2496666666666</v>
      </c>
      <c r="I20" s="1132">
        <f>AVERAGE(I16,I19)</f>
        <v>3399.5830000000005</v>
      </c>
      <c r="J20" s="1492">
        <f t="shared" ref="J20:K20" si="3">AVERAGE(J16,J19)</f>
        <v>3067.9096666666665</v>
      </c>
      <c r="K20" s="1492">
        <f t="shared" si="3"/>
        <v>2896.7846666666665</v>
      </c>
      <c r="L20" s="1492"/>
      <c r="M20" s="1492"/>
      <c r="N20" s="1492"/>
      <c r="O20" s="1492"/>
      <c r="P20" s="1495"/>
      <c r="Q20" s="799"/>
      <c r="T20">
        <f>T17-S16+1</f>
        <v>182</v>
      </c>
    </row>
    <row r="21" spans="2:25" ht="15.75">
      <c r="B21" s="507"/>
      <c r="C21" s="1489" t="s">
        <v>544</v>
      </c>
      <c r="D21" s="1496">
        <v>0.114</v>
      </c>
      <c r="E21" s="1496"/>
      <c r="F21" s="1497">
        <f>F22*365/(F20*$F$12)</f>
        <v>0.1194503768844221</v>
      </c>
      <c r="G21" s="1497">
        <f>G22*365/(G20*$G$12)</f>
        <v>0.1001892894652306</v>
      </c>
      <c r="H21" s="1497">
        <f>H22/H20</f>
        <v>9.3601348395430342E-2</v>
      </c>
      <c r="I21" s="1497">
        <f>H21</f>
        <v>9.3601348395430342E-2</v>
      </c>
      <c r="J21" s="1498">
        <f t="shared" ref="J21" si="4">J22/J20</f>
        <v>9.5364607106532578E-2</v>
      </c>
      <c r="K21" s="1498">
        <f>K22/K20*365/K12</f>
        <v>0.10366683829480819</v>
      </c>
      <c r="L21" s="1498"/>
      <c r="M21" s="1498"/>
      <c r="N21" s="1498"/>
      <c r="O21" s="1498"/>
      <c r="P21" s="1499"/>
      <c r="Q21" s="799"/>
    </row>
    <row r="22" spans="2:25" ht="15.75">
      <c r="B22" s="507"/>
      <c r="C22" s="1447" t="s">
        <v>383</v>
      </c>
      <c r="D22" s="1500">
        <f>D20*D21</f>
        <v>425.14362</v>
      </c>
      <c r="E22" s="1500"/>
      <c r="F22" s="402">
        <v>88.57</v>
      </c>
      <c r="G22" s="402">
        <v>129.38999999999999</v>
      </c>
      <c r="H22" s="402">
        <f>90.34+90.32+84.14+84.45</f>
        <v>349.25</v>
      </c>
      <c r="I22" s="402">
        <f>I20*I21</f>
        <v>318.20555278218234</v>
      </c>
      <c r="J22" s="828">
        <f>292.57</f>
        <v>292.57</v>
      </c>
      <c r="K22" s="1501">
        <f>11.13+74.16+72.88+3.91</f>
        <v>162.07999999999998</v>
      </c>
      <c r="L22" s="1501"/>
      <c r="M22" s="1501"/>
      <c r="N22" s="1501"/>
      <c r="O22" s="1501"/>
      <c r="P22" s="1502"/>
      <c r="Q22" s="799"/>
      <c r="S22" s="329">
        <v>42638</v>
      </c>
      <c r="T22" s="329">
        <v>42705</v>
      </c>
      <c r="U22">
        <f>T22-S22+1</f>
        <v>68</v>
      </c>
      <c r="V22" s="332">
        <f>V16/$U$16*$U$22</f>
        <v>885678721.9130435</v>
      </c>
      <c r="W22" s="332">
        <f>W16/$U$16*$U$22</f>
        <v>84679218.869565219</v>
      </c>
      <c r="X22" s="332">
        <f>X16/$U$16*$U$22</f>
        <v>26184989.130434785</v>
      </c>
      <c r="Y22" s="332">
        <f>SUM(V22:X22)</f>
        <v>996542929.9130435</v>
      </c>
    </row>
    <row r="23" spans="2:25" ht="15.75">
      <c r="B23" s="507"/>
      <c r="C23" s="1447"/>
      <c r="D23" s="1491"/>
      <c r="E23" s="1491"/>
      <c r="F23" s="741"/>
      <c r="G23" s="741"/>
      <c r="H23" s="741"/>
      <c r="I23" s="741"/>
      <c r="J23" s="1493"/>
      <c r="K23" s="1503"/>
      <c r="L23" s="1503"/>
      <c r="M23" s="1503"/>
      <c r="N23" s="1503"/>
      <c r="O23" s="1503"/>
      <c r="P23" s="1504"/>
      <c r="Q23" s="799"/>
      <c r="S23" s="329">
        <f>T22+1</f>
        <v>42706</v>
      </c>
      <c r="T23" s="329">
        <v>42825</v>
      </c>
      <c r="U23">
        <f>T23-S23+1</f>
        <v>120</v>
      </c>
      <c r="V23" s="331">
        <f>V17+V16/92*30</f>
        <v>1293907570.6086955</v>
      </c>
      <c r="W23" s="331">
        <f>W17+W16/92*30</f>
        <v>159555556.9130435</v>
      </c>
      <c r="X23" s="331">
        <f>X17+X16/92*30</f>
        <v>52165501.086956523</v>
      </c>
      <c r="Y23" s="332">
        <f>SUM(V23:X23)</f>
        <v>1505628628.6086955</v>
      </c>
    </row>
    <row r="24" spans="2:25" ht="15.75">
      <c r="B24" s="507">
        <v>2</v>
      </c>
      <c r="C24" s="1489" t="s">
        <v>670</v>
      </c>
      <c r="D24" s="1491"/>
      <c r="E24" s="1491"/>
      <c r="F24" s="741"/>
      <c r="G24" s="741"/>
      <c r="H24" s="741"/>
      <c r="I24" s="741"/>
      <c r="J24" s="1493"/>
      <c r="K24" s="1503"/>
      <c r="L24" s="1503"/>
      <c r="M24" s="1503"/>
      <c r="N24" s="1503"/>
      <c r="O24" s="1503"/>
      <c r="P24" s="1504"/>
      <c r="Q24" s="799"/>
    </row>
    <row r="25" spans="2:25" ht="15.75">
      <c r="B25" s="507"/>
      <c r="C25" s="1489" t="s">
        <v>536</v>
      </c>
      <c r="D25" s="1491"/>
      <c r="E25" s="1491"/>
      <c r="F25" s="741">
        <v>367.13</v>
      </c>
      <c r="G25" s="1132">
        <f>F25+F28</f>
        <v>491</v>
      </c>
      <c r="H25" s="1132">
        <f>G25+G28</f>
        <v>581.08000000000004</v>
      </c>
      <c r="I25" s="860">
        <f>H25+H28</f>
        <v>581.08000000000004</v>
      </c>
      <c r="J25" s="1505">
        <f t="shared" ref="J25:K26" si="5">I25+I28</f>
        <v>609.32000000000005</v>
      </c>
      <c r="K25" s="1505">
        <f t="shared" si="5"/>
        <v>628.87</v>
      </c>
      <c r="L25" s="1505"/>
      <c r="M25" s="1505"/>
      <c r="N25" s="1505"/>
      <c r="O25" s="1505"/>
      <c r="P25" s="1506"/>
      <c r="Q25" s="799"/>
      <c r="S25" s="329">
        <v>42638</v>
      </c>
      <c r="T25" s="329">
        <v>42705</v>
      </c>
      <c r="V25" s="331">
        <f>V22/10^7</f>
        <v>88.567872191304346</v>
      </c>
      <c r="W25" s="331">
        <f t="shared" ref="W25:Y26" si="6">W22/10^7</f>
        <v>8.4679218869565211</v>
      </c>
      <c r="X25" s="331">
        <f t="shared" si="6"/>
        <v>2.6184989130434784</v>
      </c>
      <c r="Y25" s="331">
        <f t="shared" si="6"/>
        <v>99.654292991304345</v>
      </c>
    </row>
    <row r="26" spans="2:25" ht="31.5">
      <c r="B26" s="507"/>
      <c r="C26" s="1447" t="s">
        <v>537</v>
      </c>
      <c r="D26" s="1491"/>
      <c r="E26" s="1491"/>
      <c r="F26" s="741">
        <v>0</v>
      </c>
      <c r="G26" s="1507">
        <v>0</v>
      </c>
      <c r="H26" s="741">
        <f>G26+G29</f>
        <v>10.23</v>
      </c>
      <c r="I26" s="1132">
        <f>H26+H29</f>
        <v>58.814000000000007</v>
      </c>
      <c r="J26" s="1492">
        <f t="shared" si="5"/>
        <v>107.70400000000001</v>
      </c>
      <c r="K26" s="1492">
        <f t="shared" si="5"/>
        <v>160.214</v>
      </c>
      <c r="L26" s="1492"/>
      <c r="M26" s="1492"/>
      <c r="N26" s="1492"/>
      <c r="O26" s="1492"/>
      <c r="P26" s="1495"/>
      <c r="Q26" s="799"/>
      <c r="S26" s="329">
        <f>T25+1</f>
        <v>42706</v>
      </c>
      <c r="T26" s="329">
        <v>42825</v>
      </c>
      <c r="V26" s="331">
        <f>V23/10^7</f>
        <v>129.39075706086956</v>
      </c>
      <c r="W26" s="331">
        <f t="shared" si="6"/>
        <v>15.955555691304349</v>
      </c>
      <c r="X26" s="331">
        <f t="shared" si="6"/>
        <v>5.2165501086956523</v>
      </c>
      <c r="Y26" s="331">
        <f t="shared" si="6"/>
        <v>150.56286286086956</v>
      </c>
    </row>
    <row r="27" spans="2:25" ht="15.75">
      <c r="B27" s="507"/>
      <c r="C27" s="1447" t="s">
        <v>539</v>
      </c>
      <c r="D27" s="1491">
        <v>0</v>
      </c>
      <c r="E27" s="1491"/>
      <c r="F27" s="741">
        <f>F25-F26</f>
        <v>367.13</v>
      </c>
      <c r="G27" s="741">
        <f>G25-G26</f>
        <v>491</v>
      </c>
      <c r="H27" s="1132">
        <f>H25-H26</f>
        <v>570.85</v>
      </c>
      <c r="I27" s="1132">
        <f>I25-I26</f>
        <v>522.26600000000008</v>
      </c>
      <c r="J27" s="1492">
        <f t="shared" ref="J27:K27" si="7">J25-J26</f>
        <v>501.61600000000004</v>
      </c>
      <c r="K27" s="1492">
        <f t="shared" si="7"/>
        <v>468.65600000000001</v>
      </c>
      <c r="L27" s="1492"/>
      <c r="M27" s="1492"/>
      <c r="N27" s="1492"/>
      <c r="O27" s="1492"/>
      <c r="P27" s="1495"/>
      <c r="Q27" s="799"/>
    </row>
    <row r="28" spans="2:25" ht="15.75">
      <c r="B28" s="507"/>
      <c r="C28" s="1447" t="s">
        <v>540</v>
      </c>
      <c r="D28" s="1508">
        <v>700</v>
      </c>
      <c r="E28" s="1508"/>
      <c r="F28" s="1509">
        <v>123.87</v>
      </c>
      <c r="G28" s="1509">
        <v>90.08</v>
      </c>
      <c r="H28" s="741">
        <v>0</v>
      </c>
      <c r="I28" s="1132">
        <v>28.24</v>
      </c>
      <c r="J28" s="1492">
        <v>19.55</v>
      </c>
      <c r="K28" s="1492">
        <v>15.6</v>
      </c>
      <c r="L28" s="1492"/>
      <c r="M28" s="1492"/>
      <c r="N28" s="1492"/>
      <c r="O28" s="1492"/>
      <c r="P28" s="1495"/>
      <c r="Q28" s="799"/>
    </row>
    <row r="29" spans="2:25" ht="31.5">
      <c r="B29" s="507"/>
      <c r="C29" s="1447" t="s">
        <v>541</v>
      </c>
      <c r="D29" s="1491">
        <v>0</v>
      </c>
      <c r="E29" s="1491"/>
      <c r="F29" s="1507">
        <v>0</v>
      </c>
      <c r="G29" s="1507">
        <v>10.23</v>
      </c>
      <c r="H29" s="1507">
        <f>12.146*4</f>
        <v>48.584000000000003</v>
      </c>
      <c r="I29" s="1132">
        <v>48.89</v>
      </c>
      <c r="J29" s="1492">
        <v>52.51</v>
      </c>
      <c r="K29" s="1492">
        <f>13.52</f>
        <v>13.52</v>
      </c>
      <c r="L29" s="1492"/>
      <c r="M29" s="1492"/>
      <c r="N29" s="1492"/>
      <c r="O29" s="1492"/>
      <c r="P29" s="1495"/>
      <c r="Q29" s="799"/>
    </row>
    <row r="30" spans="2:25" ht="15.75">
      <c r="B30" s="507"/>
      <c r="C30" s="1447" t="s">
        <v>542</v>
      </c>
      <c r="D30" s="1490">
        <f>D27+D28-D29</f>
        <v>700</v>
      </c>
      <c r="E30" s="1490"/>
      <c r="F30" s="1510">
        <f>F27+F28-F29</f>
        <v>491</v>
      </c>
      <c r="G30" s="1510">
        <f>G27+G28-G29</f>
        <v>570.85</v>
      </c>
      <c r="H30" s="1510">
        <f>H27+H28-H29</f>
        <v>522.26600000000008</v>
      </c>
      <c r="I30" s="1510">
        <f>I27+I28-I29</f>
        <v>501.6160000000001</v>
      </c>
      <c r="J30" s="1511">
        <f t="shared" ref="J30:K30" si="8">J27+J28-J29</f>
        <v>468.65600000000006</v>
      </c>
      <c r="K30" s="1511">
        <f t="shared" si="8"/>
        <v>470.73600000000005</v>
      </c>
      <c r="L30" s="1511"/>
      <c r="M30" s="1511"/>
      <c r="N30" s="1511"/>
      <c r="O30" s="1511"/>
      <c r="P30" s="1512"/>
      <c r="Q30" s="799"/>
      <c r="R30" s="342">
        <f>I25+I28</f>
        <v>609.32000000000005</v>
      </c>
    </row>
    <row r="31" spans="2:25" ht="15.75">
      <c r="B31" s="507"/>
      <c r="C31" s="1447" t="s">
        <v>543</v>
      </c>
      <c r="D31" s="1490">
        <f>AVERAGE(D27,D30)</f>
        <v>350</v>
      </c>
      <c r="E31" s="1490"/>
      <c r="F31" s="1510" t="e">
        <f>#REF!</f>
        <v>#REF!</v>
      </c>
      <c r="G31" s="1510" t="e">
        <f>#REF!</f>
        <v>#REF!</v>
      </c>
      <c r="H31" s="1510">
        <f>AVERAGE(H27,H30)</f>
        <v>546.55799999999999</v>
      </c>
      <c r="I31" s="1510">
        <f>AVERAGE(I27,I30)</f>
        <v>511.94100000000009</v>
      </c>
      <c r="J31" s="1511">
        <f t="shared" ref="J31:K31" si="9">AVERAGE(J27,J30)</f>
        <v>485.13600000000008</v>
      </c>
      <c r="K31" s="1511">
        <f t="shared" si="9"/>
        <v>469.69600000000003</v>
      </c>
      <c r="L31" s="1511"/>
      <c r="M31" s="1511"/>
      <c r="N31" s="1511"/>
      <c r="O31" s="1511"/>
      <c r="P31" s="1512"/>
      <c r="Q31" s="799"/>
    </row>
    <row r="32" spans="2:25" ht="15.75">
      <c r="B32" s="507"/>
      <c r="C32" s="1489" t="s">
        <v>544</v>
      </c>
      <c r="D32" s="1496">
        <v>9.2899999999999996E-2</v>
      </c>
      <c r="E32" s="1496"/>
      <c r="F32" s="1513" t="e">
        <f>F33*365/(F31*$F$12)</f>
        <v>#REF!</v>
      </c>
      <c r="G32" s="1513" t="e">
        <f>G33*365/(G31*$G$12)</f>
        <v>#REF!</v>
      </c>
      <c r="H32" s="1513">
        <f>H33/H31</f>
        <v>8.9395818924981427E-2</v>
      </c>
      <c r="I32" s="1497">
        <f>I33/I31</f>
        <v>8.7119414151240068E-2</v>
      </c>
      <c r="J32" s="1498">
        <f t="shared" ref="J32" si="10">J33/J31</f>
        <v>9.6612084034167711E-2</v>
      </c>
      <c r="K32" s="1498">
        <f>K33/K31*365/K12</f>
        <v>9.9878837280560087E-2</v>
      </c>
      <c r="L32" s="1503"/>
      <c r="M32" s="1503"/>
      <c r="N32" s="1503"/>
      <c r="O32" s="1503"/>
      <c r="P32" s="1504"/>
      <c r="Q32" s="799"/>
      <c r="T32">
        <f>376/7585</f>
        <v>4.9571522742254452E-2</v>
      </c>
    </row>
    <row r="33" spans="2:18" ht="15.75">
      <c r="B33" s="507"/>
      <c r="C33" s="1447" t="s">
        <v>383</v>
      </c>
      <c r="D33" s="1514">
        <f>D31*D32</f>
        <v>32.515000000000001</v>
      </c>
      <c r="E33" s="1514"/>
      <c r="F33" s="1515">
        <v>8.4700000000000006</v>
      </c>
      <c r="G33" s="1515">
        <v>15.96</v>
      </c>
      <c r="H33" s="1516">
        <f>12.59+12.56+12+11.71</f>
        <v>48.86</v>
      </c>
      <c r="I33" s="1517">
        <v>44.6</v>
      </c>
      <c r="J33" s="1518">
        <v>46.87</v>
      </c>
      <c r="K33" s="1501">
        <f>1.74+11.58+11.39+0.61</f>
        <v>25.32</v>
      </c>
      <c r="L33" s="1501"/>
      <c r="M33" s="1501"/>
      <c r="N33" s="1501"/>
      <c r="O33" s="1501"/>
      <c r="P33" s="1502"/>
      <c r="Q33" s="799"/>
    </row>
    <row r="34" spans="2:18" ht="15.75">
      <c r="B34" s="507"/>
      <c r="C34" s="1447"/>
      <c r="D34" s="1514"/>
      <c r="E34" s="1514"/>
      <c r="F34" s="1516"/>
      <c r="G34" s="1516"/>
      <c r="H34" s="1516"/>
      <c r="I34" s="1517"/>
      <c r="J34" s="1518"/>
      <c r="K34" s="1503"/>
      <c r="L34" s="1503"/>
      <c r="M34" s="1503"/>
      <c r="N34" s="1503"/>
      <c r="O34" s="1503"/>
      <c r="P34" s="1504"/>
      <c r="Q34" s="799"/>
    </row>
    <row r="35" spans="2:18" ht="15.75">
      <c r="B35" s="507">
        <v>3</v>
      </c>
      <c r="C35" s="1489" t="s">
        <v>671</v>
      </c>
      <c r="D35" s="1514"/>
      <c r="E35" s="1514"/>
      <c r="F35" s="1516"/>
      <c r="G35" s="1516"/>
      <c r="H35" s="1516"/>
      <c r="I35" s="1517"/>
      <c r="J35" s="1518"/>
      <c r="K35" s="1503"/>
      <c r="L35" s="1503"/>
      <c r="M35" s="1503"/>
      <c r="N35" s="1503"/>
      <c r="O35" s="1503"/>
      <c r="P35" s="1504"/>
      <c r="Q35" s="799"/>
    </row>
    <row r="36" spans="2:18" ht="15.75">
      <c r="B36" s="507"/>
      <c r="C36" s="1447" t="s">
        <v>536</v>
      </c>
      <c r="D36" s="1514"/>
      <c r="E36" s="1514"/>
      <c r="F36" s="1515">
        <v>110.52</v>
      </c>
      <c r="G36" s="1516">
        <f>F36+F39</f>
        <v>153.11000000000001</v>
      </c>
      <c r="H36" s="1516">
        <f>G36+G39</f>
        <v>206.04000000000002</v>
      </c>
      <c r="I36" s="1519">
        <f>H36+H39</f>
        <v>442.89000000000004</v>
      </c>
      <c r="J36" s="1520">
        <f t="shared" ref="J36:K37" si="11">I36+I39</f>
        <v>609.29000000000008</v>
      </c>
      <c r="K36" s="1521">
        <f t="shared" si="11"/>
        <v>629.6400000000001</v>
      </c>
      <c r="L36" s="1521"/>
      <c r="M36" s="1521"/>
      <c r="N36" s="1520"/>
      <c r="O36" s="1520"/>
      <c r="P36" s="1522"/>
      <c r="Q36" s="799"/>
    </row>
    <row r="37" spans="2:18" ht="31.5">
      <c r="B37" s="507"/>
      <c r="C37" s="1447" t="s">
        <v>537</v>
      </c>
      <c r="D37" s="1514"/>
      <c r="E37" s="1514"/>
      <c r="F37" s="1515">
        <v>0</v>
      </c>
      <c r="G37" s="1515">
        <v>0</v>
      </c>
      <c r="H37" s="1515">
        <f>G37+G40</f>
        <v>3.12</v>
      </c>
      <c r="I37" s="402">
        <f>H37+H40</f>
        <v>22.584999999999997</v>
      </c>
      <c r="J37" s="828">
        <f t="shared" si="11"/>
        <v>62.384999999999991</v>
      </c>
      <c r="K37" s="828">
        <f t="shared" si="11"/>
        <v>119.64499999999998</v>
      </c>
      <c r="L37" s="828"/>
      <c r="M37" s="828"/>
      <c r="N37" s="1518"/>
      <c r="O37" s="1518"/>
      <c r="P37" s="1523"/>
      <c r="Q37" s="799"/>
    </row>
    <row r="38" spans="2:18" ht="15.75">
      <c r="B38" s="507"/>
      <c r="C38" s="1447" t="s">
        <v>539</v>
      </c>
      <c r="D38" s="1514">
        <v>0</v>
      </c>
      <c r="E38" s="1514"/>
      <c r="F38" s="1515">
        <f>F36-F37</f>
        <v>110.52</v>
      </c>
      <c r="G38" s="1515">
        <f>G36-G37</f>
        <v>153.11000000000001</v>
      </c>
      <c r="H38" s="1515">
        <f>H36-H37</f>
        <v>202.92000000000002</v>
      </c>
      <c r="I38" s="1515">
        <f>I36-I37</f>
        <v>420.30500000000006</v>
      </c>
      <c r="J38" s="1524">
        <f t="shared" ref="J38:K38" si="12">J36-J37</f>
        <v>546.90500000000009</v>
      </c>
      <c r="K38" s="1524">
        <f t="shared" si="12"/>
        <v>509.99500000000012</v>
      </c>
      <c r="L38" s="1524"/>
      <c r="M38" s="1524"/>
      <c r="N38" s="1525"/>
      <c r="O38" s="1525"/>
      <c r="P38" s="1526"/>
      <c r="Q38" s="799"/>
    </row>
    <row r="39" spans="2:18" ht="15.75">
      <c r="B39" s="507"/>
      <c r="C39" s="1447" t="s">
        <v>540</v>
      </c>
      <c r="D39" s="1514">
        <v>700</v>
      </c>
      <c r="E39" s="1514"/>
      <c r="F39" s="1515">
        <v>42.59</v>
      </c>
      <c r="G39" s="1515">
        <v>52.93</v>
      </c>
      <c r="H39" s="1515">
        <f>30.66+44.67+161.52</f>
        <v>236.85000000000002</v>
      </c>
      <c r="I39" s="402">
        <v>166.4</v>
      </c>
      <c r="J39" s="828">
        <v>20.350000000000001</v>
      </c>
      <c r="K39" s="828">
        <v>15.57</v>
      </c>
      <c r="L39" s="828"/>
      <c r="M39" s="828"/>
      <c r="N39" s="1518"/>
      <c r="O39" s="1518"/>
      <c r="P39" s="1523"/>
      <c r="Q39" s="799"/>
    </row>
    <row r="40" spans="2:18" ht="31.5">
      <c r="B40" s="507"/>
      <c r="C40" s="1447" t="s">
        <v>541</v>
      </c>
      <c r="D40" s="1514">
        <v>0</v>
      </c>
      <c r="E40" s="1514"/>
      <c r="F40" s="1515">
        <v>0</v>
      </c>
      <c r="G40" s="1515">
        <v>3.12</v>
      </c>
      <c r="H40" s="1515">
        <f>4.228+4.466+4.889+5.882</f>
        <v>19.464999999999996</v>
      </c>
      <c r="I40" s="402">
        <v>39.799999999999997</v>
      </c>
      <c r="J40" s="828">
        <v>57.26</v>
      </c>
      <c r="K40" s="828">
        <f>14.57</f>
        <v>14.57</v>
      </c>
      <c r="L40" s="828"/>
      <c r="M40" s="828"/>
      <c r="N40" s="1518"/>
      <c r="O40" s="1518"/>
      <c r="P40" s="1523"/>
      <c r="Q40" s="799"/>
    </row>
    <row r="41" spans="2:18" ht="15.75">
      <c r="B41" s="507"/>
      <c r="C41" s="1447" t="s">
        <v>542</v>
      </c>
      <c r="D41" s="1514">
        <f>D38+D39-D40</f>
        <v>700</v>
      </c>
      <c r="E41" s="1514"/>
      <c r="F41" s="1515">
        <f>F38+F39-F40</f>
        <v>153.11000000000001</v>
      </c>
      <c r="G41" s="1516">
        <f>G38+G39-G40</f>
        <v>202.92000000000002</v>
      </c>
      <c r="H41" s="1515">
        <f>H38+H39-H40</f>
        <v>420.30500000000006</v>
      </c>
      <c r="I41" s="1515">
        <f>I38+I39-I40</f>
        <v>546.90500000000009</v>
      </c>
      <c r="J41" s="1524">
        <f t="shared" ref="J41:K41" si="13">J38+J39-J40</f>
        <v>509.99500000000012</v>
      </c>
      <c r="K41" s="1524">
        <f t="shared" si="13"/>
        <v>510.99500000000018</v>
      </c>
      <c r="L41" s="1524"/>
      <c r="M41" s="1524"/>
      <c r="N41" s="1524"/>
      <c r="O41" s="1524"/>
      <c r="P41" s="1527"/>
      <c r="Q41" s="799"/>
      <c r="R41">
        <f>I36+I39</f>
        <v>609.29000000000008</v>
      </c>
    </row>
    <row r="42" spans="2:18" ht="15.75">
      <c r="B42" s="507"/>
      <c r="C42" s="1447" t="s">
        <v>543</v>
      </c>
      <c r="D42" s="1514">
        <f>AVERAGE(D38,D41)</f>
        <v>350</v>
      </c>
      <c r="E42" s="1514"/>
      <c r="F42" s="1515" t="e">
        <f>#REF!</f>
        <v>#REF!</v>
      </c>
      <c r="G42" s="1516">
        <f>W87</f>
        <v>14.105083333333335</v>
      </c>
      <c r="H42" s="1516">
        <f>W111</f>
        <v>234.69191095890415</v>
      </c>
      <c r="I42" s="1517">
        <f>AVERAGE(I38,I41)</f>
        <v>483.60500000000008</v>
      </c>
      <c r="J42" s="1518">
        <f t="shared" ref="J42:K42" si="14">AVERAGE(J38,J41)</f>
        <v>528.45000000000005</v>
      </c>
      <c r="K42" s="828">
        <f t="shared" si="14"/>
        <v>510.49500000000012</v>
      </c>
      <c r="L42" s="1518"/>
      <c r="M42" s="1518"/>
      <c r="N42" s="1518"/>
      <c r="O42" s="1518"/>
      <c r="P42" s="1523"/>
      <c r="Q42" s="799"/>
    </row>
    <row r="43" spans="2:18" ht="15.75">
      <c r="B43" s="507"/>
      <c r="C43" s="1489" t="s">
        <v>544</v>
      </c>
      <c r="D43" s="1528">
        <v>9.2899999999999996E-2</v>
      </c>
      <c r="E43" s="1514"/>
      <c r="F43" s="1513" t="e">
        <f>F44*365/(F42*$F$12)</f>
        <v>#REF!</v>
      </c>
      <c r="G43" s="1513">
        <f>G44*365/(G42*$G$12)</f>
        <v>1.1256580074559408</v>
      </c>
      <c r="H43" s="1513">
        <f>H44/H42</f>
        <v>0.10654393625172073</v>
      </c>
      <c r="I43" s="1513">
        <f>I44/I42</f>
        <v>8.0396191106378134E-2</v>
      </c>
      <c r="J43" s="1529">
        <f t="shared" ref="J43" si="15">J44/J42</f>
        <v>9.3064622953921844E-2</v>
      </c>
      <c r="K43" s="1529">
        <f>K44/K42*365/K12</f>
        <v>9.4182997362518089E-2</v>
      </c>
      <c r="L43" s="1530"/>
      <c r="M43" s="1530"/>
      <c r="N43" s="1503"/>
      <c r="O43" s="1503"/>
      <c r="P43" s="1504"/>
      <c r="Q43" s="799"/>
    </row>
    <row r="44" spans="2:18" ht="15.75">
      <c r="B44" s="507"/>
      <c r="C44" s="1447" t="s">
        <v>383</v>
      </c>
      <c r="D44" s="1514">
        <f>D42*D43</f>
        <v>32.515000000000001</v>
      </c>
      <c r="E44" s="1514"/>
      <c r="F44" s="402">
        <v>2.62</v>
      </c>
      <c r="G44" s="402">
        <v>5.22</v>
      </c>
      <c r="H44" s="1517">
        <f>4.544+4.909+5.806+9.746</f>
        <v>25.005000000000003</v>
      </c>
      <c r="I44" s="402">
        <v>38.880000000000003</v>
      </c>
      <c r="J44" s="828">
        <v>49.18</v>
      </c>
      <c r="K44" s="1501">
        <f>1.83+11.78+11.97+0.37</f>
        <v>25.95</v>
      </c>
      <c r="L44" s="1531"/>
      <c r="M44" s="1531"/>
      <c r="N44" s="1501"/>
      <c r="O44" s="1501"/>
      <c r="P44" s="1502"/>
      <c r="Q44" s="799"/>
    </row>
    <row r="45" spans="2:18" ht="15.75">
      <c r="B45" s="507"/>
      <c r="C45" s="1447"/>
      <c r="D45" s="1514"/>
      <c r="E45" s="1514"/>
      <c r="F45" s="1517"/>
      <c r="G45" s="1517"/>
      <c r="H45" s="1517"/>
      <c r="I45" s="1517"/>
      <c r="J45" s="828"/>
      <c r="K45" s="1501"/>
      <c r="L45" s="1531"/>
      <c r="M45" s="1531"/>
      <c r="N45" s="1501"/>
      <c r="O45" s="1501"/>
      <c r="P45" s="1502"/>
      <c r="Q45" s="799"/>
    </row>
    <row r="46" spans="2:18" ht="15.75">
      <c r="B46" s="507">
        <v>4</v>
      </c>
      <c r="C46" s="1489" t="s">
        <v>1098</v>
      </c>
      <c r="D46" s="1514"/>
      <c r="E46" s="1514"/>
      <c r="F46" s="1517"/>
      <c r="G46" s="1517"/>
      <c r="H46" s="1517"/>
      <c r="I46" s="1517"/>
      <c r="J46" s="1518"/>
      <c r="K46" s="1503"/>
      <c r="L46" s="1503"/>
      <c r="M46" s="1503"/>
      <c r="N46" s="1503"/>
      <c r="O46" s="1503"/>
      <c r="P46" s="1504"/>
      <c r="Q46" s="799"/>
    </row>
    <row r="47" spans="2:18" ht="15.75">
      <c r="B47" s="507"/>
      <c r="C47" s="1447" t="s">
        <v>536</v>
      </c>
      <c r="D47" s="1514"/>
      <c r="E47" s="1514"/>
      <c r="F47" s="1517"/>
      <c r="G47" s="1517"/>
      <c r="H47" s="1517"/>
      <c r="I47" s="1517"/>
      <c r="J47" s="1520"/>
      <c r="K47" s="1520"/>
      <c r="L47" s="1492">
        <f>K19</f>
        <v>2891.4996666666661</v>
      </c>
      <c r="M47" s="1492"/>
      <c r="N47" s="1492">
        <f>L47</f>
        <v>2891.4996666666661</v>
      </c>
      <c r="O47" s="1132">
        <f>N47+N50</f>
        <v>2891.4996666666661</v>
      </c>
      <c r="P47" s="889">
        <f>O47+O50</f>
        <v>2891.4996666666661</v>
      </c>
      <c r="Q47" s="799"/>
    </row>
    <row r="48" spans="2:18" ht="31.5">
      <c r="B48" s="507"/>
      <c r="C48" s="1447" t="s">
        <v>537</v>
      </c>
      <c r="D48" s="1514"/>
      <c r="E48" s="1514"/>
      <c r="F48" s="1517"/>
      <c r="G48" s="1517"/>
      <c r="H48" s="1517"/>
      <c r="I48" s="1517"/>
      <c r="J48" s="1518"/>
      <c r="K48" s="1518"/>
      <c r="L48" s="828">
        <v>0</v>
      </c>
      <c r="M48" s="828"/>
      <c r="N48" s="828">
        <f>L48+L51</f>
        <v>248.76</v>
      </c>
      <c r="O48" s="402">
        <f>N48+N51</f>
        <v>497.52</v>
      </c>
      <c r="P48" s="1133">
        <f>O48+O51</f>
        <v>829.2</v>
      </c>
      <c r="Q48" s="799"/>
    </row>
    <row r="49" spans="2:17" ht="15.75">
      <c r="B49" s="507"/>
      <c r="C49" s="1447" t="s">
        <v>539</v>
      </c>
      <c r="D49" s="1514"/>
      <c r="E49" s="1514"/>
      <c r="F49" s="1517"/>
      <c r="G49" s="1517"/>
      <c r="H49" s="1517"/>
      <c r="I49" s="1517"/>
      <c r="J49" s="1525"/>
      <c r="K49" s="1525"/>
      <c r="L49" s="1492">
        <f t="shared" ref="L49:P49" si="16">L47-L48</f>
        <v>2891.4996666666661</v>
      </c>
      <c r="M49" s="1492"/>
      <c r="N49" s="1492">
        <f t="shared" si="16"/>
        <v>2642.7396666666664</v>
      </c>
      <c r="O49" s="1132">
        <f t="shared" si="16"/>
        <v>2393.9796666666662</v>
      </c>
      <c r="P49" s="889">
        <f t="shared" si="16"/>
        <v>2062.2996666666659</v>
      </c>
      <c r="Q49" s="799"/>
    </row>
    <row r="50" spans="2:17" ht="15.75">
      <c r="B50" s="507"/>
      <c r="C50" s="1447" t="s">
        <v>540</v>
      </c>
      <c r="D50" s="1514"/>
      <c r="E50" s="1514"/>
      <c r="F50" s="1517"/>
      <c r="G50" s="1517"/>
      <c r="H50" s="1517"/>
      <c r="I50" s="1517"/>
      <c r="J50" s="1518"/>
      <c r="K50" s="1518"/>
      <c r="L50" s="1493">
        <v>0</v>
      </c>
      <c r="M50" s="1493"/>
      <c r="N50" s="1493">
        <v>0</v>
      </c>
      <c r="O50" s="741">
        <v>0</v>
      </c>
      <c r="P50" s="890">
        <v>0</v>
      </c>
      <c r="Q50" s="799"/>
    </row>
    <row r="51" spans="2:17" ht="31.5">
      <c r="B51" s="507"/>
      <c r="C51" s="1447" t="s">
        <v>541</v>
      </c>
      <c r="D51" s="1514"/>
      <c r="E51" s="1514"/>
      <c r="F51" s="1517"/>
      <c r="G51" s="1517"/>
      <c r="H51" s="1517"/>
      <c r="I51" s="1517"/>
      <c r="J51" s="1518"/>
      <c r="K51" s="1518"/>
      <c r="L51" s="828">
        <f>82.92*3</f>
        <v>248.76</v>
      </c>
      <c r="M51" s="828"/>
      <c r="N51" s="828">
        <f>82.92*3</f>
        <v>248.76</v>
      </c>
      <c r="O51" s="402">
        <f>82.92*4</f>
        <v>331.68</v>
      </c>
      <c r="P51" s="1133">
        <f>82.92*4</f>
        <v>331.68</v>
      </c>
      <c r="Q51" s="799"/>
    </row>
    <row r="52" spans="2:17" ht="15.75">
      <c r="B52" s="507"/>
      <c r="C52" s="1447" t="s">
        <v>542</v>
      </c>
      <c r="D52" s="1514"/>
      <c r="E52" s="1514"/>
      <c r="F52" s="1517"/>
      <c r="G52" s="1517"/>
      <c r="H52" s="1517"/>
      <c r="I52" s="1517"/>
      <c r="J52" s="1524"/>
      <c r="K52" s="1524"/>
      <c r="L52" s="1492">
        <f t="shared" ref="L52:P52" si="17">L49+L50-L51</f>
        <v>2642.7396666666664</v>
      </c>
      <c r="M52" s="1492"/>
      <c r="N52" s="1492">
        <f t="shared" si="17"/>
        <v>2393.9796666666662</v>
      </c>
      <c r="O52" s="1132">
        <f t="shared" si="17"/>
        <v>2062.2996666666663</v>
      </c>
      <c r="P52" s="889">
        <f t="shared" si="17"/>
        <v>1730.6196666666658</v>
      </c>
      <c r="Q52" s="799"/>
    </row>
    <row r="53" spans="2:17" ht="15.75">
      <c r="B53" s="507"/>
      <c r="C53" s="1447" t="s">
        <v>543</v>
      </c>
      <c r="D53" s="1514"/>
      <c r="E53" s="1514"/>
      <c r="F53" s="1517"/>
      <c r="G53" s="1517"/>
      <c r="H53" s="1517"/>
      <c r="I53" s="1517"/>
      <c r="J53" s="1518"/>
      <c r="K53" s="1518"/>
      <c r="L53" s="1492">
        <f t="shared" ref="L53:P53" si="18">AVERAGE(L49,L52)</f>
        <v>2767.1196666666665</v>
      </c>
      <c r="M53" s="1492"/>
      <c r="N53" s="1492">
        <f t="shared" si="18"/>
        <v>2518.3596666666663</v>
      </c>
      <c r="O53" s="1132">
        <f t="shared" si="18"/>
        <v>2228.139666666666</v>
      </c>
      <c r="P53" s="889">
        <f t="shared" si="18"/>
        <v>1896.4596666666657</v>
      </c>
      <c r="Q53" s="799"/>
    </row>
    <row r="54" spans="2:17" ht="15.75">
      <c r="B54" s="507"/>
      <c r="C54" s="1489" t="s">
        <v>544</v>
      </c>
      <c r="D54" s="1514"/>
      <c r="E54" s="1514"/>
      <c r="F54" s="1517"/>
      <c r="G54" s="1517"/>
      <c r="H54" s="1517"/>
      <c r="I54" s="1517"/>
      <c r="J54" s="1529"/>
      <c r="K54" s="1503"/>
      <c r="L54" s="1498">
        <f>L55/L53*365/L12</f>
        <v>7.2925236871284743E-2</v>
      </c>
      <c r="M54" s="1498"/>
      <c r="N54" s="1498">
        <f t="shared" ref="N54" si="19">N55/N53</f>
        <v>7.2773560673554852E-2</v>
      </c>
      <c r="O54" s="1497">
        <v>7.2800000000000004E-2</v>
      </c>
      <c r="P54" s="1532">
        <v>7.2800000000000004E-2</v>
      </c>
      <c r="Q54" s="799"/>
    </row>
    <row r="55" spans="2:17" ht="15.75">
      <c r="B55" s="507"/>
      <c r="C55" s="1447" t="s">
        <v>383</v>
      </c>
      <c r="D55" s="1514"/>
      <c r="E55" s="1514"/>
      <c r="F55" s="1517"/>
      <c r="G55" s="1517"/>
      <c r="H55" s="1517"/>
      <c r="I55" s="1517"/>
      <c r="J55" s="828"/>
      <c r="K55" s="1501"/>
      <c r="L55" s="828">
        <v>92.88</v>
      </c>
      <c r="M55" s="1501"/>
      <c r="N55" s="828">
        <v>183.27</v>
      </c>
      <c r="O55" s="402">
        <f>O54*O53</f>
        <v>162.2085677333333</v>
      </c>
      <c r="P55" s="1133">
        <f>P54*P53</f>
        <v>138.06226373333328</v>
      </c>
      <c r="Q55" s="799"/>
    </row>
    <row r="56" spans="2:17" ht="15.75">
      <c r="B56" s="507"/>
      <c r="C56" s="1447"/>
      <c r="D56" s="1514"/>
      <c r="E56" s="1514"/>
      <c r="F56" s="1517"/>
      <c r="G56" s="1517"/>
      <c r="H56" s="1517"/>
      <c r="I56" s="1517"/>
      <c r="J56" s="828"/>
      <c r="K56" s="1501"/>
      <c r="L56" s="1531"/>
      <c r="M56" s="1531"/>
      <c r="N56" s="1501"/>
      <c r="O56" s="1501"/>
      <c r="P56" s="1502"/>
      <c r="Q56" s="799"/>
    </row>
    <row r="57" spans="2:17" ht="15.75">
      <c r="B57" s="507">
        <v>5</v>
      </c>
      <c r="C57" s="1489" t="s">
        <v>1099</v>
      </c>
      <c r="D57" s="1514"/>
      <c r="E57" s="1514"/>
      <c r="F57" s="1517"/>
      <c r="G57" s="1517"/>
      <c r="H57" s="1517"/>
      <c r="I57" s="1517"/>
      <c r="J57" s="1518"/>
      <c r="K57" s="1503"/>
      <c r="L57" s="1503"/>
      <c r="M57" s="1503"/>
      <c r="N57" s="1503"/>
      <c r="O57" s="1503"/>
      <c r="P57" s="1504"/>
      <c r="Q57" s="799"/>
    </row>
    <row r="58" spans="2:17" ht="15.75">
      <c r="B58" s="507"/>
      <c r="C58" s="1447" t="s">
        <v>536</v>
      </c>
      <c r="D58" s="1514"/>
      <c r="E58" s="1514"/>
      <c r="F58" s="1517"/>
      <c r="G58" s="1517"/>
      <c r="H58" s="1517"/>
      <c r="I58" s="1517"/>
      <c r="J58" s="1520"/>
      <c r="K58" s="1520"/>
      <c r="L58" s="1492">
        <f>K30+K41</f>
        <v>981.73100000000022</v>
      </c>
      <c r="M58" s="1521"/>
      <c r="N58" s="1492">
        <f>L58+L61</f>
        <v>981.73100000000022</v>
      </c>
      <c r="O58" s="1132">
        <f>N58+N61</f>
        <v>981.73100000000022</v>
      </c>
      <c r="P58" s="889">
        <f>O58+O61</f>
        <v>981.73100000000022</v>
      </c>
      <c r="Q58" s="799"/>
    </row>
    <row r="59" spans="2:17" ht="31.5">
      <c r="B59" s="507"/>
      <c r="C59" s="1447" t="s">
        <v>537</v>
      </c>
      <c r="D59" s="1514"/>
      <c r="E59" s="1514"/>
      <c r="F59" s="1517"/>
      <c r="G59" s="1517"/>
      <c r="H59" s="1517"/>
      <c r="I59" s="1517"/>
      <c r="J59" s="1518"/>
      <c r="K59" s="1518"/>
      <c r="L59" s="828">
        <v>0</v>
      </c>
      <c r="M59" s="1521"/>
      <c r="N59" s="828">
        <f>L59+L62</f>
        <v>59.5</v>
      </c>
      <c r="O59" s="402">
        <f>N59+N62</f>
        <v>148.75</v>
      </c>
      <c r="P59" s="1133">
        <f>O59+O62</f>
        <v>267.75</v>
      </c>
      <c r="Q59" s="799"/>
    </row>
    <row r="60" spans="2:17" ht="15.75">
      <c r="B60" s="507"/>
      <c r="C60" s="1447" t="s">
        <v>539</v>
      </c>
      <c r="D60" s="1514"/>
      <c r="E60" s="1514"/>
      <c r="F60" s="1517"/>
      <c r="G60" s="1517"/>
      <c r="H60" s="1517"/>
      <c r="I60" s="1517"/>
      <c r="J60" s="1525"/>
      <c r="K60" s="1525"/>
      <c r="L60" s="1492">
        <f>L58-L59</f>
        <v>981.73100000000022</v>
      </c>
      <c r="M60" s="1521"/>
      <c r="N60" s="1492">
        <f>N58-N59</f>
        <v>922.23100000000022</v>
      </c>
      <c r="O60" s="1132">
        <f t="shared" ref="O60:P60" si="20">O58-O59</f>
        <v>832.98100000000022</v>
      </c>
      <c r="P60" s="889">
        <f t="shared" si="20"/>
        <v>713.98100000000022</v>
      </c>
      <c r="Q60" s="799"/>
    </row>
    <row r="61" spans="2:17" ht="15.75">
      <c r="B61" s="507"/>
      <c r="C61" s="1447" t="s">
        <v>540</v>
      </c>
      <c r="D61" s="1514"/>
      <c r="E61" s="1514"/>
      <c r="F61" s="1517"/>
      <c r="G61" s="1517"/>
      <c r="H61" s="1517"/>
      <c r="I61" s="1517"/>
      <c r="J61" s="1518"/>
      <c r="K61" s="1518"/>
      <c r="L61" s="1493">
        <v>0</v>
      </c>
      <c r="M61" s="1521"/>
      <c r="N61" s="1493">
        <v>0</v>
      </c>
      <c r="O61" s="741">
        <v>0</v>
      </c>
      <c r="P61" s="890">
        <v>0</v>
      </c>
      <c r="Q61" s="799"/>
    </row>
    <row r="62" spans="2:17" ht="31.5">
      <c r="B62" s="507"/>
      <c r="C62" s="1447" t="s">
        <v>541</v>
      </c>
      <c r="D62" s="1514"/>
      <c r="E62" s="1514"/>
      <c r="F62" s="1517"/>
      <c r="G62" s="1517"/>
      <c r="H62" s="1517"/>
      <c r="I62" s="1517"/>
      <c r="J62" s="1518"/>
      <c r="K62" s="1518"/>
      <c r="L62" s="828">
        <f>29.75*2</f>
        <v>59.5</v>
      </c>
      <c r="M62" s="828">
        <f t="shared" ref="M62" si="21">29.75*2</f>
        <v>59.5</v>
      </c>
      <c r="N62" s="828">
        <f>29.75*3</f>
        <v>89.25</v>
      </c>
      <c r="O62" s="402">
        <f>29.75*4</f>
        <v>119</v>
      </c>
      <c r="P62" s="1133">
        <f>29.75*4</f>
        <v>119</v>
      </c>
      <c r="Q62" s="799"/>
    </row>
    <row r="63" spans="2:17" ht="15.75">
      <c r="B63" s="507"/>
      <c r="C63" s="1447" t="s">
        <v>542</v>
      </c>
      <c r="D63" s="1514"/>
      <c r="E63" s="1514"/>
      <c r="F63" s="1517"/>
      <c r="G63" s="1517"/>
      <c r="H63" s="1517"/>
      <c r="I63" s="1517"/>
      <c r="J63" s="1524"/>
      <c r="K63" s="1524"/>
      <c r="L63" s="1492">
        <f>L60+L61-L62</f>
        <v>922.23100000000022</v>
      </c>
      <c r="M63" s="1521"/>
      <c r="N63" s="1492">
        <f>N60+N61-N62</f>
        <v>832.98100000000022</v>
      </c>
      <c r="O63" s="1132">
        <f t="shared" ref="O63:P63" si="22">O60+O61-O62</f>
        <v>713.98100000000022</v>
      </c>
      <c r="P63" s="889">
        <f t="shared" si="22"/>
        <v>594.98100000000022</v>
      </c>
      <c r="Q63" s="799"/>
    </row>
    <row r="64" spans="2:17" ht="15.75">
      <c r="B64" s="507"/>
      <c r="C64" s="1447" t="s">
        <v>543</v>
      </c>
      <c r="D64" s="1514"/>
      <c r="E64" s="1514"/>
      <c r="F64" s="1517"/>
      <c r="G64" s="1517"/>
      <c r="H64" s="1517"/>
      <c r="I64" s="1517"/>
      <c r="J64" s="1518"/>
      <c r="K64" s="1518"/>
      <c r="L64" s="1492">
        <f t="shared" ref="L64:P64" si="23">AVERAGE(L60,L63)</f>
        <v>951.98100000000022</v>
      </c>
      <c r="M64" s="1492"/>
      <c r="N64" s="1492">
        <f t="shared" si="23"/>
        <v>877.60600000000022</v>
      </c>
      <c r="O64" s="1132">
        <f t="shared" si="23"/>
        <v>773.48100000000022</v>
      </c>
      <c r="P64" s="889">
        <f t="shared" si="23"/>
        <v>654.48100000000022</v>
      </c>
      <c r="Q64" s="799"/>
    </row>
    <row r="65" spans="2:21" ht="15.75">
      <c r="B65" s="507"/>
      <c r="C65" s="1489" t="s">
        <v>544</v>
      </c>
      <c r="D65" s="1514"/>
      <c r="E65" s="1514"/>
      <c r="F65" s="1517"/>
      <c r="G65" s="1517"/>
      <c r="H65" s="1517"/>
      <c r="I65" s="1517"/>
      <c r="J65" s="1529"/>
      <c r="K65" s="1503"/>
      <c r="L65" s="1498">
        <f>L66/L64*365/L12</f>
        <v>6.723385985944795E-2</v>
      </c>
      <c r="M65" s="1498"/>
      <c r="N65" s="1498">
        <f t="shared" ref="N65" si="24">N66/N64</f>
        <v>6.8288047255830042E-2</v>
      </c>
      <c r="O65" s="1497">
        <v>6.83E-2</v>
      </c>
      <c r="P65" s="1532">
        <v>6.83E-2</v>
      </c>
      <c r="Q65" s="799"/>
    </row>
    <row r="66" spans="2:21" ht="15.75">
      <c r="B66" s="507"/>
      <c r="C66" s="1447" t="s">
        <v>383</v>
      </c>
      <c r="D66" s="1514"/>
      <c r="E66" s="1514"/>
      <c r="F66" s="1517"/>
      <c r="G66" s="1517"/>
      <c r="H66" s="1517"/>
      <c r="I66" s="1517"/>
      <c r="J66" s="828"/>
      <c r="K66" s="1501"/>
      <c r="L66" s="828">
        <v>29.46</v>
      </c>
      <c r="M66" s="1521"/>
      <c r="N66" s="828">
        <v>59.93</v>
      </c>
      <c r="O66" s="402">
        <f>O65*O64</f>
        <v>52.828752300000012</v>
      </c>
      <c r="P66" s="1133">
        <f>P65*P64</f>
        <v>44.701052300000015</v>
      </c>
      <c r="Q66" s="799"/>
    </row>
    <row r="67" spans="2:21" ht="15.75">
      <c r="B67" s="507"/>
      <c r="C67" s="1447"/>
      <c r="D67" s="1514"/>
      <c r="E67" s="1514"/>
      <c r="F67" s="1517"/>
      <c r="G67" s="1517"/>
      <c r="H67" s="1517"/>
      <c r="I67" s="1517"/>
      <c r="J67" s="1518"/>
      <c r="K67" s="1518"/>
      <c r="L67" s="1518"/>
      <c r="M67" s="1503"/>
      <c r="N67" s="1518"/>
      <c r="O67" s="1517"/>
      <c r="P67" s="1533"/>
      <c r="Q67" s="799"/>
    </row>
    <row r="68" spans="2:21" ht="15.75">
      <c r="B68" s="507">
        <v>6</v>
      </c>
      <c r="C68" s="1489" t="s">
        <v>546</v>
      </c>
      <c r="D68" s="1491"/>
      <c r="E68" s="1491"/>
      <c r="F68" s="741"/>
      <c r="G68" s="741"/>
      <c r="H68" s="741"/>
      <c r="I68" s="741"/>
      <c r="J68" s="1493"/>
      <c r="K68" s="1493"/>
      <c r="L68" s="1493"/>
      <c r="M68" s="1503"/>
      <c r="N68" s="1493"/>
      <c r="O68" s="741"/>
      <c r="P68" s="890"/>
      <c r="Q68" s="799"/>
    </row>
    <row r="69" spans="2:21" ht="15.75">
      <c r="B69" s="507"/>
      <c r="C69" s="1489" t="s">
        <v>547</v>
      </c>
      <c r="D69" s="1490">
        <f>D14+D25</f>
        <v>3478.66</v>
      </c>
      <c r="E69" s="1490"/>
      <c r="F69" s="1132">
        <f>F14+F25+F36</f>
        <v>4457.6500000000005</v>
      </c>
      <c r="G69" s="1132">
        <f>G14+G25+G36</f>
        <v>4624.1099999999997</v>
      </c>
      <c r="H69" s="1132">
        <f>H14+H25+H36</f>
        <v>4767.12</v>
      </c>
      <c r="I69" s="1132">
        <f>I14+I25+I36</f>
        <v>5003.97</v>
      </c>
      <c r="J69" s="1492">
        <f t="shared" ref="J69:L74" si="25">J14+J25+J36+J47+J58</f>
        <v>5198.6099999999997</v>
      </c>
      <c r="K69" s="1492">
        <f t="shared" si="25"/>
        <v>5238.51</v>
      </c>
      <c r="L69" s="1492">
        <f t="shared" si="25"/>
        <v>3873.2306666666664</v>
      </c>
      <c r="M69" s="1492">
        <f>K69</f>
        <v>5238.51</v>
      </c>
      <c r="N69" s="1492">
        <f t="shared" ref="N69:P74" si="26">N14+N25+N36+N47+N58</f>
        <v>3873.2306666666664</v>
      </c>
      <c r="O69" s="1132">
        <f t="shared" si="26"/>
        <v>3873.2306666666664</v>
      </c>
      <c r="P69" s="889">
        <f t="shared" si="26"/>
        <v>3873.2306666666664</v>
      </c>
      <c r="Q69" s="799"/>
    </row>
    <row r="70" spans="2:21" ht="31.5">
      <c r="B70" s="507"/>
      <c r="C70" s="1447" t="s">
        <v>537</v>
      </c>
      <c r="D70" s="1491"/>
      <c r="E70" s="1491"/>
      <c r="F70" s="1132">
        <f t="shared" ref="F70:H77" si="27">F15+F26+F37</f>
        <v>0</v>
      </c>
      <c r="G70" s="1132">
        <f t="shared" si="27"/>
        <v>0</v>
      </c>
      <c r="H70" s="1132">
        <f t="shared" si="27"/>
        <v>96.26700000000001</v>
      </c>
      <c r="I70" s="1132">
        <f t="shared" ref="I70:I75" si="28">I15+I26+I37</f>
        <v>495.98266666666666</v>
      </c>
      <c r="J70" s="1492">
        <f t="shared" si="25"/>
        <v>916.33933333333334</v>
      </c>
      <c r="K70" s="1492">
        <f t="shared" si="25"/>
        <v>1357.7893333333334</v>
      </c>
      <c r="L70" s="1492">
        <f t="shared" si="25"/>
        <v>0</v>
      </c>
      <c r="M70" s="1492">
        <f>K70</f>
        <v>1357.7893333333334</v>
      </c>
      <c r="N70" s="1492">
        <f t="shared" si="26"/>
        <v>308.26</v>
      </c>
      <c r="O70" s="1132">
        <f t="shared" si="26"/>
        <v>646.27</v>
      </c>
      <c r="P70" s="889">
        <f t="shared" si="26"/>
        <v>1096.95</v>
      </c>
      <c r="Q70" s="799"/>
    </row>
    <row r="71" spans="2:21" ht="15.75">
      <c r="B71" s="507"/>
      <c r="C71" s="1447" t="s">
        <v>539</v>
      </c>
      <c r="D71" s="1490">
        <f>D27+D16</f>
        <v>3478.66</v>
      </c>
      <c r="E71" s="1490"/>
      <c r="F71" s="1132">
        <f t="shared" si="27"/>
        <v>4457.6500000000005</v>
      </c>
      <c r="G71" s="1132">
        <f t="shared" si="27"/>
        <v>4624.1099999999997</v>
      </c>
      <c r="H71" s="1132">
        <f t="shared" si="27"/>
        <v>4670.8530000000001</v>
      </c>
      <c r="I71" s="1132">
        <f t="shared" si="28"/>
        <v>4507.9873333333335</v>
      </c>
      <c r="J71" s="1492">
        <f t="shared" si="25"/>
        <v>4282.2706666666663</v>
      </c>
      <c r="K71" s="1492">
        <f t="shared" si="25"/>
        <v>3880.7206666666661</v>
      </c>
      <c r="L71" s="1492">
        <f t="shared" si="25"/>
        <v>3873.2306666666664</v>
      </c>
      <c r="M71" s="1492">
        <f t="shared" ref="M71" si="29">M69-M70</f>
        <v>3880.7206666666671</v>
      </c>
      <c r="N71" s="1492">
        <f t="shared" si="26"/>
        <v>3564.9706666666666</v>
      </c>
      <c r="O71" s="1132">
        <f t="shared" si="26"/>
        <v>3226.9606666666664</v>
      </c>
      <c r="P71" s="889">
        <f t="shared" si="26"/>
        <v>2776.2806666666661</v>
      </c>
      <c r="Q71" s="799"/>
    </row>
    <row r="72" spans="2:21" ht="15.75">
      <c r="B72" s="507"/>
      <c r="C72" s="1447" t="s">
        <v>540</v>
      </c>
      <c r="D72" s="1490">
        <f>D17+D28</f>
        <v>1201.3399999999999</v>
      </c>
      <c r="E72" s="1490"/>
      <c r="F72" s="1132">
        <f t="shared" si="27"/>
        <v>166.46</v>
      </c>
      <c r="G72" s="1132">
        <f t="shared" si="27"/>
        <v>143.01</v>
      </c>
      <c r="H72" s="1132">
        <f t="shared" si="27"/>
        <v>236.85000000000002</v>
      </c>
      <c r="I72" s="1132">
        <f t="shared" si="28"/>
        <v>194.64000000000001</v>
      </c>
      <c r="J72" s="1492">
        <f t="shared" si="25"/>
        <v>39.900000000000006</v>
      </c>
      <c r="K72" s="1492">
        <f t="shared" si="25"/>
        <v>103.51999999999998</v>
      </c>
      <c r="L72" s="1492">
        <f t="shared" si="25"/>
        <v>0</v>
      </c>
      <c r="M72" s="1492">
        <f>K72+L72</f>
        <v>103.51999999999998</v>
      </c>
      <c r="N72" s="1492">
        <f t="shared" si="26"/>
        <v>0</v>
      </c>
      <c r="O72" s="1132">
        <f t="shared" si="26"/>
        <v>0</v>
      </c>
      <c r="P72" s="889">
        <f t="shared" si="26"/>
        <v>0</v>
      </c>
      <c r="Q72" s="799"/>
    </row>
    <row r="73" spans="2:21" ht="31.5">
      <c r="B73" s="507"/>
      <c r="C73" s="1447" t="s">
        <v>541</v>
      </c>
      <c r="D73" s="1491" t="s">
        <v>549</v>
      </c>
      <c r="E73" s="1491"/>
      <c r="F73" s="1132">
        <f t="shared" si="27"/>
        <v>0</v>
      </c>
      <c r="G73" s="1132">
        <f t="shared" si="27"/>
        <v>96.26700000000001</v>
      </c>
      <c r="H73" s="1132">
        <f t="shared" si="27"/>
        <v>399.71566666666666</v>
      </c>
      <c r="I73" s="1132">
        <f t="shared" si="28"/>
        <v>420.35666666666668</v>
      </c>
      <c r="J73" s="1492">
        <f t="shared" si="25"/>
        <v>441.45</v>
      </c>
      <c r="K73" s="1492">
        <f t="shared" si="25"/>
        <v>111.00999999999999</v>
      </c>
      <c r="L73" s="1492">
        <f t="shared" si="25"/>
        <v>308.26</v>
      </c>
      <c r="M73" s="1492">
        <f>K73+L73</f>
        <v>419.27</v>
      </c>
      <c r="N73" s="1492">
        <f t="shared" si="26"/>
        <v>338.01</v>
      </c>
      <c r="O73" s="1534">
        <f t="shared" si="26"/>
        <v>450.68</v>
      </c>
      <c r="P73" s="1535">
        <f t="shared" si="26"/>
        <v>450.68</v>
      </c>
      <c r="Q73" s="799"/>
    </row>
    <row r="74" spans="2:21" ht="15.75">
      <c r="B74" s="507"/>
      <c r="C74" s="1447" t="s">
        <v>542</v>
      </c>
      <c r="D74" s="1490">
        <f>D19+D30</f>
        <v>4680</v>
      </c>
      <c r="E74" s="1490"/>
      <c r="F74" s="1132">
        <f t="shared" si="27"/>
        <v>4624.1099999999997</v>
      </c>
      <c r="G74" s="1132">
        <f t="shared" si="27"/>
        <v>4670.8530000000001</v>
      </c>
      <c r="H74" s="1132">
        <f t="shared" si="27"/>
        <v>4507.9873333333335</v>
      </c>
      <c r="I74" s="1132">
        <f t="shared" si="28"/>
        <v>4282.2706666666672</v>
      </c>
      <c r="J74" s="1492">
        <f t="shared" si="25"/>
        <v>3880.7206666666671</v>
      </c>
      <c r="K74" s="1492">
        <f t="shared" si="25"/>
        <v>3873.2306666666664</v>
      </c>
      <c r="L74" s="1492">
        <f t="shared" si="25"/>
        <v>3564.9706666666666</v>
      </c>
      <c r="M74" s="1492">
        <f>M71+M72-M73</f>
        <v>3564.9706666666671</v>
      </c>
      <c r="N74" s="1492">
        <f t="shared" si="26"/>
        <v>3226.9606666666664</v>
      </c>
      <c r="O74" s="1132">
        <f t="shared" si="26"/>
        <v>2776.2806666666665</v>
      </c>
      <c r="P74" s="889">
        <f t="shared" si="26"/>
        <v>2325.6006666666663</v>
      </c>
      <c r="Q74" s="799"/>
    </row>
    <row r="75" spans="2:21" ht="15.75">
      <c r="B75" s="507"/>
      <c r="C75" s="1447" t="s">
        <v>543</v>
      </c>
      <c r="D75" s="1490">
        <f>AVERAGE(D71,D74)</f>
        <v>4079.33</v>
      </c>
      <c r="E75" s="1490"/>
      <c r="F75" s="1132" t="e">
        <f t="shared" si="27"/>
        <v>#REF!</v>
      </c>
      <c r="G75" s="1132" t="e">
        <f t="shared" si="27"/>
        <v>#REF!</v>
      </c>
      <c r="H75" s="1132">
        <f t="shared" si="27"/>
        <v>4512.499577625571</v>
      </c>
      <c r="I75" s="1132">
        <f t="shared" si="28"/>
        <v>4395.1290000000008</v>
      </c>
      <c r="J75" s="1492">
        <f>J20+J31+J42+J53+J64</f>
        <v>4081.4956666666667</v>
      </c>
      <c r="K75" s="1492">
        <f>AVERAGE(K71,K74)</f>
        <v>3876.9756666666663</v>
      </c>
      <c r="L75" s="1492">
        <f t="shared" ref="L75:N75" si="30">AVERAGE(L71,L74)</f>
        <v>3719.1006666666663</v>
      </c>
      <c r="M75" s="1492">
        <f t="shared" si="30"/>
        <v>3722.8456666666671</v>
      </c>
      <c r="N75" s="1492">
        <f t="shared" si="30"/>
        <v>3395.9656666666665</v>
      </c>
      <c r="O75" s="1132">
        <f t="shared" ref="O75:P75" si="31">AVERAGE(O71,O74)</f>
        <v>3001.6206666666667</v>
      </c>
      <c r="P75" s="889">
        <f t="shared" si="31"/>
        <v>2550.9406666666664</v>
      </c>
      <c r="Q75" s="799"/>
    </row>
    <row r="76" spans="2:21" ht="15.75">
      <c r="B76" s="507"/>
      <c r="C76" s="1489" t="s">
        <v>544</v>
      </c>
      <c r="D76" s="1496">
        <f>D77/D75</f>
        <v>0.11218965369313098</v>
      </c>
      <c r="E76" s="1496"/>
      <c r="F76" s="1513" t="e">
        <f>F77*365/(F75*$F12)</f>
        <v>#REF!</v>
      </c>
      <c r="G76" s="1513" t="e">
        <f>G77*365/(G75*$G12)</f>
        <v>#REF!</v>
      </c>
      <c r="H76" s="1513">
        <f>H77*365/(H75*$H12)</f>
        <v>9.3765105729414516E-2</v>
      </c>
      <c r="I76" s="1513">
        <f>I77*365/(I75*$H12)</f>
        <v>9.139334767698111E-2</v>
      </c>
      <c r="J76" s="1529">
        <f>J77/J75*366/J12</f>
        <v>9.5215095577299402E-2</v>
      </c>
      <c r="K76" s="1529">
        <f>K77/K75*365/K12</f>
        <v>0.10195915094509365</v>
      </c>
      <c r="L76" s="1529">
        <f>L77/L75*365/L12</f>
        <v>7.1468410809095523E-2</v>
      </c>
      <c r="M76" s="1529">
        <f>M77/M75*365/M12</f>
        <v>9.0170270286967724E-2</v>
      </c>
      <c r="N76" s="1529">
        <f>N77/N75*365/N12</f>
        <v>7.1614387149771933E-2</v>
      </c>
      <c r="O76" s="1513">
        <f>O77/O75*365/O12</f>
        <v>7.1640404939020713E-2</v>
      </c>
      <c r="P76" s="1536">
        <f>P77/P75*366/P12</f>
        <v>7.1645459426601055E-2</v>
      </c>
      <c r="Q76" s="799"/>
    </row>
    <row r="77" spans="2:21" ht="15.75">
      <c r="B77" s="507"/>
      <c r="C77" s="1447" t="s">
        <v>383</v>
      </c>
      <c r="D77" s="1500">
        <f>D22+D33</f>
        <v>457.65861999999998</v>
      </c>
      <c r="E77" s="1500"/>
      <c r="F77" s="1132">
        <f t="shared" si="27"/>
        <v>99.66</v>
      </c>
      <c r="G77" s="1132">
        <f t="shared" si="27"/>
        <v>150.57</v>
      </c>
      <c r="H77" s="1132">
        <f t="shared" si="27"/>
        <v>423.11500000000001</v>
      </c>
      <c r="I77" s="1132">
        <f>I22+I33+I44</f>
        <v>401.68555278218236</v>
      </c>
      <c r="J77" s="1492">
        <f>J22+J33+J44+J55+J66</f>
        <v>388.62</v>
      </c>
      <c r="K77" s="1492">
        <f>K22+K33+K44+K55+K66</f>
        <v>213.34999999999997</v>
      </c>
      <c r="L77" s="1492">
        <f>L22+L33+L44+L55+L66</f>
        <v>122.34</v>
      </c>
      <c r="M77" s="1492">
        <f>K77+L77</f>
        <v>335.68999999999994</v>
      </c>
      <c r="N77" s="1492">
        <f>N22+N33+N44+N55+N66</f>
        <v>243.20000000000002</v>
      </c>
      <c r="O77" s="1132">
        <f>O22+O33+O44+O55+O66</f>
        <v>215.03732003333332</v>
      </c>
      <c r="P77" s="889">
        <f>P22+P33+P44+P55+P66</f>
        <v>182.7633160333333</v>
      </c>
      <c r="Q77" s="799"/>
    </row>
    <row r="78" spans="2:21" ht="15.75">
      <c r="B78" s="1537"/>
      <c r="C78" s="1538"/>
      <c r="D78" s="1539"/>
      <c r="E78" s="1539"/>
      <c r="F78" s="1540"/>
      <c r="G78" s="1540"/>
      <c r="H78" s="1540"/>
      <c r="I78" s="1541"/>
      <c r="J78" s="1134"/>
      <c r="K78" s="1134"/>
      <c r="L78" s="1134"/>
      <c r="M78" s="1134"/>
      <c r="N78" s="1134"/>
      <c r="O78" s="1360"/>
      <c r="P78" s="1357"/>
      <c r="Q78" s="799"/>
    </row>
    <row r="79" spans="2:21" ht="15.75">
      <c r="B79" s="1977" t="s">
        <v>1432</v>
      </c>
      <c r="C79" s="1978"/>
      <c r="D79" s="1978"/>
      <c r="E79" s="1978"/>
      <c r="F79" s="1978"/>
      <c r="G79" s="1978"/>
      <c r="H79" s="1978"/>
      <c r="I79" s="1978"/>
      <c r="J79" s="1978"/>
      <c r="K79" s="1978"/>
      <c r="L79" s="1978"/>
      <c r="M79" s="1978"/>
      <c r="N79" s="1978"/>
      <c r="O79" s="1978"/>
      <c r="P79" s="1979"/>
      <c r="Q79" s="799"/>
      <c r="U79" s="341"/>
    </row>
    <row r="80" spans="2:21" ht="171.75" customHeight="1">
      <c r="B80" s="1859" t="s">
        <v>1482</v>
      </c>
      <c r="C80" s="1802"/>
      <c r="D80" s="1802"/>
      <c r="E80" s="1802"/>
      <c r="F80" s="1802"/>
      <c r="G80" s="1802"/>
      <c r="H80" s="1802"/>
      <c r="I80" s="1802"/>
      <c r="J80" s="1802"/>
      <c r="K80" s="1802"/>
      <c r="L80" s="1802"/>
      <c r="M80" s="1802"/>
      <c r="N80" s="1802"/>
      <c r="O80" s="1802"/>
      <c r="P80" s="1803"/>
      <c r="Q80" s="799"/>
    </row>
    <row r="81" spans="2:24" ht="16.5" thickBot="1">
      <c r="B81" s="1542"/>
      <c r="C81" s="883"/>
      <c r="D81" s="883"/>
      <c r="E81" s="883"/>
      <c r="F81" s="883"/>
      <c r="G81" s="883"/>
      <c r="H81" s="883"/>
      <c r="I81" s="883"/>
      <c r="J81" s="883"/>
      <c r="K81" s="883"/>
      <c r="L81" s="883"/>
      <c r="M81" s="883"/>
      <c r="N81" s="1543" t="s">
        <v>700</v>
      </c>
      <c r="O81" s="883"/>
      <c r="P81" s="884"/>
      <c r="Q81" s="155"/>
      <c r="T81" s="329">
        <v>42750</v>
      </c>
      <c r="W81" s="340">
        <v>-3.1</v>
      </c>
      <c r="X81">
        <f>$T$87-T81+1</f>
        <v>76</v>
      </c>
    </row>
    <row r="82" spans="2:24">
      <c r="T82" s="329">
        <v>42765</v>
      </c>
      <c r="W82">
        <v>28.78</v>
      </c>
      <c r="X82">
        <f>$T$87-T82+1</f>
        <v>61</v>
      </c>
    </row>
    <row r="83" spans="2:24">
      <c r="T83" s="329">
        <v>42786</v>
      </c>
      <c r="W83">
        <v>1.85</v>
      </c>
      <c r="X83">
        <f>$T$87-T83+1</f>
        <v>40</v>
      </c>
    </row>
    <row r="84" spans="2:24">
      <c r="T84" s="329">
        <v>42817</v>
      </c>
      <c r="W84">
        <v>9.5399999999999991</v>
      </c>
      <c r="X84">
        <f>$T$87-T84+1</f>
        <v>9</v>
      </c>
    </row>
    <row r="85" spans="2:24">
      <c r="T85" s="329">
        <v>42825</v>
      </c>
      <c r="W85">
        <v>12.77</v>
      </c>
      <c r="X85">
        <f>$T$87-T85+1</f>
        <v>1</v>
      </c>
    </row>
    <row r="87" spans="2:24">
      <c r="T87" s="329">
        <v>42825</v>
      </c>
      <c r="W87">
        <f>SUMPRODUCT(W81:W85,X81:X85)/120</f>
        <v>14.105083333333335</v>
      </c>
    </row>
    <row r="92" spans="2:24">
      <c r="T92" s="397" t="s">
        <v>529</v>
      </c>
    </row>
    <row r="93" spans="2:24">
      <c r="T93" s="397" t="s">
        <v>533</v>
      </c>
    </row>
    <row r="97" spans="20:24">
      <c r="W97" t="s">
        <v>685</v>
      </c>
    </row>
    <row r="99" spans="20:24">
      <c r="W99" s="340">
        <f>H38-H40/2</f>
        <v>193.18750000000003</v>
      </c>
      <c r="X99">
        <v>365</v>
      </c>
    </row>
    <row r="100" spans="20:24">
      <c r="T100" s="329">
        <v>42919</v>
      </c>
      <c r="W100" s="340">
        <v>11.22</v>
      </c>
      <c r="X100">
        <f t="shared" ref="X100:X106" si="32">$T$111-T100+1</f>
        <v>272</v>
      </c>
    </row>
    <row r="101" spans="20:24">
      <c r="T101" s="329">
        <v>42978</v>
      </c>
      <c r="W101">
        <v>19.43</v>
      </c>
      <c r="X101">
        <f t="shared" si="32"/>
        <v>213</v>
      </c>
    </row>
    <row r="102" spans="20:24">
      <c r="T102" s="329">
        <v>43104</v>
      </c>
      <c r="W102">
        <v>0.24</v>
      </c>
      <c r="X102">
        <f t="shared" si="32"/>
        <v>87</v>
      </c>
    </row>
    <row r="103" spans="20:24">
      <c r="T103" s="329">
        <v>43039</v>
      </c>
      <c r="W103">
        <v>44.67</v>
      </c>
      <c r="X103">
        <f t="shared" si="32"/>
        <v>152</v>
      </c>
    </row>
    <row r="104" spans="20:24">
      <c r="T104" s="329">
        <v>43104</v>
      </c>
      <c r="W104">
        <v>8.68</v>
      </c>
      <c r="X104">
        <f t="shared" si="32"/>
        <v>87</v>
      </c>
    </row>
    <row r="105" spans="20:24">
      <c r="T105" s="329">
        <v>43139</v>
      </c>
      <c r="W105">
        <v>4.71</v>
      </c>
      <c r="X105">
        <f t="shared" si="32"/>
        <v>52</v>
      </c>
    </row>
    <row r="106" spans="20:24">
      <c r="T106" s="329">
        <v>43190</v>
      </c>
      <c r="W106">
        <v>147.88</v>
      </c>
      <c r="X106">
        <f t="shared" si="32"/>
        <v>1</v>
      </c>
    </row>
    <row r="111" spans="20:24">
      <c r="T111" s="329">
        <v>43190</v>
      </c>
      <c r="W111">
        <f>SUMPRODUCT(W99:W106,X99:X106)/365</f>
        <v>234.69191095890415</v>
      </c>
    </row>
  </sheetData>
  <mergeCells count="11">
    <mergeCell ref="B1:P1"/>
    <mergeCell ref="B2:P2"/>
    <mergeCell ref="B79:P79"/>
    <mergeCell ref="B80:P80"/>
    <mergeCell ref="K8:M8"/>
    <mergeCell ref="C8:C9"/>
    <mergeCell ref="F9:G9"/>
    <mergeCell ref="B8:B9"/>
    <mergeCell ref="B5:P5"/>
    <mergeCell ref="B6:P6"/>
    <mergeCell ref="B3:P3"/>
  </mergeCells>
  <pageMargins left="0.51" right="0.70866141732283505" top="0.74803149606299202" bottom="0.74803149606299202" header="0.31496062992126" footer="0.31496062992126"/>
  <pageSetup paperSize="9" scale="75" fitToHeight="2" orientation="portrait" horizontalDpi="4294967293" r:id="rId1"/>
</worksheet>
</file>

<file path=xl/worksheets/sheet24.xml><?xml version="1.0" encoding="utf-8"?>
<worksheet xmlns="http://schemas.openxmlformats.org/spreadsheetml/2006/main" xmlns:r="http://schemas.openxmlformats.org/officeDocument/2006/relationships">
  <sheetPr>
    <pageSetUpPr fitToPage="1"/>
  </sheetPr>
  <dimension ref="B1:O33"/>
  <sheetViews>
    <sheetView zoomScale="130" zoomScaleNormal="130" workbookViewId="0">
      <selection activeCell="K16" sqref="K16"/>
    </sheetView>
  </sheetViews>
  <sheetFormatPr defaultRowHeight="12.75"/>
  <cols>
    <col min="2" max="2" width="36.83203125" customWidth="1"/>
    <col min="3" max="6" width="20.83203125" hidden="1" customWidth="1"/>
    <col min="7" max="7" width="15.1640625" customWidth="1"/>
    <col min="8" max="8" width="15.83203125" customWidth="1"/>
    <col min="9" max="11" width="14.5" customWidth="1"/>
    <col min="12" max="12" width="39" customWidth="1"/>
    <col min="13" max="13" width="21.5" hidden="1" customWidth="1"/>
    <col min="14" max="16" width="0" hidden="1" customWidth="1"/>
  </cols>
  <sheetData>
    <row r="1" spans="2:15" ht="15.75">
      <c r="B1" s="1138"/>
      <c r="C1" s="1139"/>
      <c r="D1" s="1139"/>
      <c r="E1" s="1139"/>
      <c r="F1" s="1140"/>
      <c r="G1" s="1140"/>
      <c r="H1" s="1140"/>
      <c r="I1" s="1140"/>
      <c r="J1" s="1993" t="s">
        <v>743</v>
      </c>
      <c r="K1" s="1994"/>
    </row>
    <row r="2" spans="2:15" ht="15.75">
      <c r="B2" s="1141"/>
      <c r="C2" s="1661"/>
      <c r="D2" s="1661"/>
      <c r="E2" s="1661"/>
      <c r="F2" s="1662"/>
      <c r="G2" s="1662"/>
      <c r="H2" s="1662"/>
      <c r="I2" s="1662"/>
      <c r="J2" s="1995" t="s">
        <v>749</v>
      </c>
      <c r="K2" s="1996"/>
    </row>
    <row r="3" spans="2:15" ht="15.75">
      <c r="B3" s="1141"/>
      <c r="C3" s="1661"/>
      <c r="D3" s="1661"/>
      <c r="E3" s="1661"/>
      <c r="F3" s="1661"/>
      <c r="G3" s="1662"/>
      <c r="H3" s="1662"/>
      <c r="I3" s="1662"/>
      <c r="J3" s="1662"/>
      <c r="K3" s="1142"/>
    </row>
    <row r="4" spans="2:15" ht="20.25">
      <c r="B4" s="1986" t="s">
        <v>831</v>
      </c>
      <c r="C4" s="1987"/>
      <c r="D4" s="1987"/>
      <c r="E4" s="1987"/>
      <c r="F4" s="1987"/>
      <c r="G4" s="1987"/>
      <c r="H4" s="1987"/>
      <c r="I4" s="1987"/>
      <c r="J4" s="1987"/>
      <c r="K4" s="1988"/>
    </row>
    <row r="5" spans="2:15" ht="15.75">
      <c r="B5" s="1141"/>
      <c r="C5" s="1661"/>
      <c r="D5" s="1661"/>
      <c r="E5" s="1661"/>
      <c r="F5" s="1661"/>
      <c r="G5" s="1662"/>
      <c r="H5" s="1662"/>
      <c r="I5" s="1662"/>
      <c r="J5" s="1662"/>
      <c r="K5" s="1142"/>
    </row>
    <row r="6" spans="2:15" ht="15.75">
      <c r="B6" s="1143" t="s">
        <v>869</v>
      </c>
      <c r="C6" s="1991" t="str">
        <f>'Form 5B '!E5</f>
        <v>The Singareni Collieries Company Limited</v>
      </c>
      <c r="D6" s="1991"/>
      <c r="E6" s="1991"/>
      <c r="F6" s="1991"/>
      <c r="G6" s="1991"/>
      <c r="H6" s="1991"/>
      <c r="I6" s="1991"/>
      <c r="J6" s="1991"/>
      <c r="K6" s="1992"/>
    </row>
    <row r="7" spans="2:15" ht="15.75">
      <c r="B7" s="1143" t="s">
        <v>870</v>
      </c>
      <c r="C7" s="1991" t="str">
        <f>'Form 5B '!E6</f>
        <v>Singareni Thermal Power Project</v>
      </c>
      <c r="D7" s="1991"/>
      <c r="E7" s="1991"/>
      <c r="F7" s="1991"/>
      <c r="G7" s="1991"/>
      <c r="H7" s="1991"/>
      <c r="I7" s="1991"/>
      <c r="J7" s="1991"/>
      <c r="K7" s="1992"/>
    </row>
    <row r="8" spans="2:15" ht="15.75">
      <c r="B8" s="1143"/>
      <c r="C8" s="1661"/>
      <c r="D8" s="1661"/>
      <c r="E8" s="1661"/>
      <c r="F8" s="1661"/>
      <c r="G8" s="1662"/>
      <c r="H8" s="1662"/>
      <c r="I8" s="1662"/>
      <c r="J8" s="1662"/>
      <c r="K8" s="1142"/>
    </row>
    <row r="9" spans="2:15" ht="15.75">
      <c r="B9" s="1141"/>
      <c r="C9" s="1661"/>
      <c r="D9" s="1661"/>
      <c r="E9" s="1662"/>
      <c r="F9" s="1662"/>
      <c r="G9" s="1662"/>
      <c r="H9" s="1662"/>
      <c r="I9" s="1662"/>
      <c r="J9" s="1989" t="s">
        <v>840</v>
      </c>
      <c r="K9" s="1990"/>
    </row>
    <row r="10" spans="2:15" ht="47.25">
      <c r="B10" s="510" t="s">
        <v>745</v>
      </c>
      <c r="C10" s="1033" t="str">
        <f>'Form 14'!C10</f>
        <v>From COD Unit 1 to COD of Unit 2</v>
      </c>
      <c r="D10" s="1033" t="str">
        <f>'Form 14'!D10</f>
        <v>From COD Unit 2 to 31.03.2017</v>
      </c>
      <c r="E10" s="1033" t="str">
        <f>'Form 14'!E10</f>
        <v>FY 2017-18</v>
      </c>
      <c r="F10" s="1034" t="str">
        <f>'Form 14'!F10</f>
        <v>FY 2018-19</v>
      </c>
      <c r="G10" s="1033" t="s">
        <v>856</v>
      </c>
      <c r="H10" s="1034" t="s">
        <v>857</v>
      </c>
      <c r="I10" s="1033" t="s">
        <v>858</v>
      </c>
      <c r="J10" s="1033" t="s">
        <v>859</v>
      </c>
      <c r="K10" s="1036" t="s">
        <v>860</v>
      </c>
    </row>
    <row r="11" spans="2:15" ht="15.75">
      <c r="B11" s="510">
        <v>1</v>
      </c>
      <c r="C11" s="511">
        <v>2</v>
      </c>
      <c r="D11" s="511">
        <v>3</v>
      </c>
      <c r="E11" s="511">
        <v>4</v>
      </c>
      <c r="F11" s="512">
        <v>5</v>
      </c>
      <c r="G11" s="511">
        <v>2</v>
      </c>
      <c r="H11" s="512">
        <v>3</v>
      </c>
      <c r="I11" s="511">
        <v>4</v>
      </c>
      <c r="J11" s="512">
        <v>5</v>
      </c>
      <c r="K11" s="1144">
        <v>6</v>
      </c>
    </row>
    <row r="12" spans="2:15" ht="15.75">
      <c r="B12" s="510" t="s">
        <v>519</v>
      </c>
      <c r="C12" s="511">
        <v>68</v>
      </c>
      <c r="D12" s="511">
        <v>120</v>
      </c>
      <c r="E12" s="511">
        <v>365</v>
      </c>
      <c r="F12" s="512">
        <v>365</v>
      </c>
      <c r="G12" s="1135">
        <v>366</v>
      </c>
      <c r="H12" s="1136">
        <v>365</v>
      </c>
      <c r="I12" s="1135">
        <v>365</v>
      </c>
      <c r="J12" s="1135">
        <v>365</v>
      </c>
      <c r="K12" s="1137">
        <v>366</v>
      </c>
    </row>
    <row r="13" spans="2:15" ht="15.75">
      <c r="B13" s="513" t="s">
        <v>384</v>
      </c>
      <c r="C13" s="514"/>
      <c r="D13" s="514"/>
      <c r="E13" s="514"/>
      <c r="F13" s="515"/>
      <c r="G13" s="1145"/>
      <c r="H13" s="1146"/>
      <c r="I13" s="1145"/>
      <c r="J13" s="1145"/>
      <c r="K13" s="1147"/>
    </row>
    <row r="14" spans="2:15" ht="15.75">
      <c r="B14" s="516" t="s">
        <v>385</v>
      </c>
      <c r="C14" s="394">
        <f>C21/0.3</f>
        <v>3501.9</v>
      </c>
      <c r="D14" s="395">
        <v>6705.71</v>
      </c>
      <c r="E14" s="394">
        <f t="shared" ref="E14:K14" si="0">D17</f>
        <v>6755.08</v>
      </c>
      <c r="F14" s="394">
        <f t="shared" si="0"/>
        <v>7124.72</v>
      </c>
      <c r="G14" s="394">
        <f t="shared" si="0"/>
        <v>7745.3200000000006</v>
      </c>
      <c r="H14" s="394">
        <f t="shared" si="0"/>
        <v>7941.0477538000014</v>
      </c>
      <c r="I14" s="394">
        <f t="shared" si="0"/>
        <v>7973.8939538000013</v>
      </c>
      <c r="J14" s="394">
        <f t="shared" si="0"/>
        <v>7998.0810906000006</v>
      </c>
      <c r="K14" s="1048">
        <f t="shared" si="0"/>
        <v>8064.3010906000009</v>
      </c>
    </row>
    <row r="15" spans="2:15" ht="15.75">
      <c r="B15" s="516" t="s">
        <v>1474</v>
      </c>
      <c r="C15" s="396">
        <v>0</v>
      </c>
      <c r="D15" s="395">
        <v>49.37</v>
      </c>
      <c r="E15" s="395">
        <v>369.64</v>
      </c>
      <c r="F15" s="395">
        <v>620.6</v>
      </c>
      <c r="G15" s="395">
        <f>'Form-9 2019-20'!C24</f>
        <v>76.507753800000728</v>
      </c>
      <c r="H15" s="395">
        <f>'Form-9 2020-21'!C21</f>
        <v>32.846199999999989</v>
      </c>
      <c r="I15" s="395">
        <f>'Form-9 2021-22'!C23</f>
        <v>24.187136799998939</v>
      </c>
      <c r="J15" s="395">
        <v>66.22</v>
      </c>
      <c r="K15" s="1663">
        <v>0</v>
      </c>
      <c r="L15" s="795"/>
    </row>
    <row r="16" spans="2:15" ht="38.25">
      <c r="B16" s="516" t="s">
        <v>386</v>
      </c>
      <c r="C16" s="394">
        <v>0</v>
      </c>
      <c r="D16" s="394">
        <v>0</v>
      </c>
      <c r="E16" s="394">
        <v>0</v>
      </c>
      <c r="F16" s="394">
        <v>0</v>
      </c>
      <c r="G16" s="394">
        <f>33.96+85.26</f>
        <v>119.22</v>
      </c>
      <c r="H16" s="396">
        <v>0</v>
      </c>
      <c r="I16" s="396">
        <v>0</v>
      </c>
      <c r="J16" s="396">
        <v>0</v>
      </c>
      <c r="K16" s="1664">
        <v>0</v>
      </c>
      <c r="L16" s="689"/>
      <c r="M16" s="689" t="s">
        <v>1087</v>
      </c>
      <c r="N16">
        <v>16</v>
      </c>
      <c r="O16">
        <v>137</v>
      </c>
    </row>
    <row r="17" spans="2:11" ht="15.75">
      <c r="B17" s="516" t="s">
        <v>387</v>
      </c>
      <c r="C17" s="394">
        <f>C14+C15+C16</f>
        <v>3501.9</v>
      </c>
      <c r="D17" s="394">
        <f>D14+D15+D16</f>
        <v>6755.08</v>
      </c>
      <c r="E17" s="394">
        <f>E14+E15+E16</f>
        <v>7124.72</v>
      </c>
      <c r="F17" s="394">
        <f>F14+F15+F16</f>
        <v>7745.3200000000006</v>
      </c>
      <c r="G17" s="394">
        <f>G14+G15+G16</f>
        <v>7941.0477538000014</v>
      </c>
      <c r="H17" s="394">
        <f t="shared" ref="H17:K17" si="1">H14+H15+H16</f>
        <v>7973.8939538000013</v>
      </c>
      <c r="I17" s="394">
        <f t="shared" si="1"/>
        <v>7998.0810906000006</v>
      </c>
      <c r="J17" s="394">
        <f t="shared" si="1"/>
        <v>8064.3010906000009</v>
      </c>
      <c r="K17" s="1048">
        <f t="shared" si="1"/>
        <v>8064.3010906000009</v>
      </c>
    </row>
    <row r="18" spans="2:11" ht="15.75">
      <c r="B18" s="516" t="s">
        <v>388</v>
      </c>
      <c r="C18" s="394">
        <f>(C14+C17)/2</f>
        <v>3501.9</v>
      </c>
      <c r="D18" s="394">
        <f>(D14+D17)/2</f>
        <v>6730.3950000000004</v>
      </c>
      <c r="E18" s="394">
        <f>(E14+E17)/2</f>
        <v>6939.9</v>
      </c>
      <c r="F18" s="394">
        <f>(F14+F17)/2</f>
        <v>7435.02</v>
      </c>
      <c r="G18" s="394">
        <f>AVERAGE(G14,G17)</f>
        <v>7843.1838769000005</v>
      </c>
      <c r="H18" s="394">
        <f t="shared" ref="H18:K18" si="2">AVERAGE(H14,H17)</f>
        <v>7957.4708538000014</v>
      </c>
      <c r="I18" s="394">
        <f t="shared" si="2"/>
        <v>7985.987522200001</v>
      </c>
      <c r="J18" s="394">
        <f t="shared" si="2"/>
        <v>8031.1910906000012</v>
      </c>
      <c r="K18" s="1048">
        <f t="shared" si="2"/>
        <v>8064.3010906000009</v>
      </c>
    </row>
    <row r="19" spans="2:11" ht="15.75">
      <c r="B19" s="516"/>
      <c r="C19" s="394"/>
      <c r="D19" s="394"/>
      <c r="E19" s="394"/>
      <c r="F19" s="394"/>
      <c r="G19" s="394"/>
      <c r="H19" s="394"/>
      <c r="I19" s="394"/>
      <c r="J19" s="394"/>
      <c r="K19" s="1048"/>
    </row>
    <row r="20" spans="2:11" ht="15.75">
      <c r="B20" s="517" t="s">
        <v>389</v>
      </c>
      <c r="C20" s="396"/>
      <c r="D20" s="396"/>
      <c r="E20" s="396"/>
      <c r="F20" s="396"/>
      <c r="G20" s="396"/>
      <c r="H20" s="396"/>
      <c r="I20" s="396"/>
      <c r="J20" s="396"/>
      <c r="K20" s="1664"/>
    </row>
    <row r="21" spans="2:11" ht="31.5">
      <c r="B21" s="516" t="s">
        <v>390</v>
      </c>
      <c r="C21" s="394">
        <v>1050.57</v>
      </c>
      <c r="D21" s="394">
        <f t="shared" ref="D21:K21" si="3">D14*0.3</f>
        <v>2011.713</v>
      </c>
      <c r="E21" s="394">
        <f t="shared" si="3"/>
        <v>2026.5239999999999</v>
      </c>
      <c r="F21" s="394">
        <f t="shared" si="3"/>
        <v>2137.4160000000002</v>
      </c>
      <c r="G21" s="394">
        <f t="shared" si="3"/>
        <v>2323.596</v>
      </c>
      <c r="H21" s="394">
        <f t="shared" si="3"/>
        <v>2382.3143261400005</v>
      </c>
      <c r="I21" s="394">
        <f t="shared" si="3"/>
        <v>2392.1681861400002</v>
      </c>
      <c r="J21" s="394">
        <f t="shared" si="3"/>
        <v>2399.4243271800001</v>
      </c>
      <c r="K21" s="1048">
        <f t="shared" si="3"/>
        <v>2419.2903271800001</v>
      </c>
    </row>
    <row r="22" spans="2:11" ht="47.25">
      <c r="B22" s="516" t="s">
        <v>839</v>
      </c>
      <c r="C22" s="394">
        <f t="shared" ref="C22:K22" si="4">0.3*(C15+C16)</f>
        <v>0</v>
      </c>
      <c r="D22" s="394">
        <f t="shared" si="4"/>
        <v>14.810999999999998</v>
      </c>
      <c r="E22" s="394">
        <f t="shared" si="4"/>
        <v>110.892</v>
      </c>
      <c r="F22" s="394">
        <f t="shared" si="4"/>
        <v>186.18</v>
      </c>
      <c r="G22" s="394">
        <f t="shared" si="4"/>
        <v>58.718326140000215</v>
      </c>
      <c r="H22" s="394">
        <f t="shared" si="4"/>
        <v>9.8538599999999956</v>
      </c>
      <c r="I22" s="394">
        <f t="shared" si="4"/>
        <v>7.2561410399996813</v>
      </c>
      <c r="J22" s="394">
        <f t="shared" si="4"/>
        <v>19.866</v>
      </c>
      <c r="K22" s="1048">
        <f t="shared" si="4"/>
        <v>0</v>
      </c>
    </row>
    <row r="23" spans="2:11" ht="15.75">
      <c r="B23" s="516" t="s">
        <v>391</v>
      </c>
      <c r="C23" s="394">
        <f t="shared" ref="C23:G23" si="5">C21+C22</f>
        <v>1050.57</v>
      </c>
      <c r="D23" s="394">
        <f t="shared" si="5"/>
        <v>2026.5239999999999</v>
      </c>
      <c r="E23" s="394">
        <f t="shared" si="5"/>
        <v>2137.4159999999997</v>
      </c>
      <c r="F23" s="394">
        <f t="shared" si="5"/>
        <v>2323.596</v>
      </c>
      <c r="G23" s="394">
        <f t="shared" si="5"/>
        <v>2382.31432614</v>
      </c>
      <c r="H23" s="394">
        <f t="shared" ref="H23:K23" si="6">H21+H22</f>
        <v>2392.1681861400007</v>
      </c>
      <c r="I23" s="394">
        <f t="shared" si="6"/>
        <v>2399.4243271800001</v>
      </c>
      <c r="J23" s="394">
        <f t="shared" si="6"/>
        <v>2419.2903271800001</v>
      </c>
      <c r="K23" s="1048">
        <f t="shared" si="6"/>
        <v>2419.2903271800001</v>
      </c>
    </row>
    <row r="24" spans="2:11" ht="15.75">
      <c r="B24" s="516" t="s">
        <v>392</v>
      </c>
      <c r="C24" s="394">
        <f t="shared" ref="C24:G24" si="7">AVERAGE(C21,C23)</f>
        <v>1050.57</v>
      </c>
      <c r="D24" s="394">
        <f t="shared" si="7"/>
        <v>2019.1185</v>
      </c>
      <c r="E24" s="394">
        <f t="shared" si="7"/>
        <v>2081.9699999999998</v>
      </c>
      <c r="F24" s="394">
        <f t="shared" si="7"/>
        <v>2230.5060000000003</v>
      </c>
      <c r="G24" s="394">
        <f t="shared" si="7"/>
        <v>2352.9551630699998</v>
      </c>
      <c r="H24" s="394">
        <f t="shared" ref="H24:K24" si="8">AVERAGE(H21,H23)</f>
        <v>2387.2412561400006</v>
      </c>
      <c r="I24" s="394">
        <f t="shared" si="8"/>
        <v>2395.7962566599999</v>
      </c>
      <c r="J24" s="394">
        <f t="shared" si="8"/>
        <v>2409.3573271800001</v>
      </c>
      <c r="K24" s="1048">
        <f t="shared" si="8"/>
        <v>2419.2903271800001</v>
      </c>
    </row>
    <row r="25" spans="2:11" ht="44.25" customHeight="1">
      <c r="B25" s="516" t="s">
        <v>1475</v>
      </c>
      <c r="C25" s="514"/>
      <c r="D25" s="514"/>
      <c r="E25" s="514"/>
      <c r="F25" s="396">
        <v>21.55</v>
      </c>
      <c r="G25" s="396">
        <v>17.472000000000001</v>
      </c>
      <c r="H25" s="396">
        <v>25.167999999999999</v>
      </c>
      <c r="I25" s="396">
        <v>25.167999999999999</v>
      </c>
      <c r="J25" s="396">
        <v>25.167999999999999</v>
      </c>
      <c r="K25" s="1664">
        <v>25.167999999999999</v>
      </c>
    </row>
    <row r="26" spans="2:11" ht="15.75">
      <c r="B26" s="516" t="s">
        <v>1408</v>
      </c>
      <c r="C26" s="394">
        <f>15.5/(1-21.34%)</f>
        <v>19.705059750826344</v>
      </c>
      <c r="D26" s="394">
        <f>15.5/(1-21.34%)</f>
        <v>19.705059750826344</v>
      </c>
      <c r="E26" s="394">
        <f>15.5/(1-21.34%)</f>
        <v>19.705059750826344</v>
      </c>
      <c r="F26" s="394">
        <f>15.5/(1-21.55%)</f>
        <v>19.757807520713833</v>
      </c>
      <c r="G26" s="728">
        <f>'Form 3'!D13/(1-G25%)</f>
        <v>0.18781504459092671</v>
      </c>
      <c r="H26" s="728">
        <f>'Form 3'!E13/(1-H25%)</f>
        <v>0.20713063929869574</v>
      </c>
      <c r="I26" s="728">
        <f>'Form 3'!F13/(1-I25%)</f>
        <v>0.20713063929869574</v>
      </c>
      <c r="J26" s="728">
        <f>'Form 3'!G13/(1-J25%)</f>
        <v>0.20713063929869574</v>
      </c>
      <c r="K26" s="1072">
        <f>'Form 3'!H13/(1-K25%)</f>
        <v>0.20713063929869574</v>
      </c>
    </row>
    <row r="27" spans="2:11" ht="15.75">
      <c r="B27" s="516" t="s">
        <v>939</v>
      </c>
      <c r="C27" s="394">
        <f>C24*C26%*C12/365</f>
        <v>38.567261214381993</v>
      </c>
      <c r="D27" s="394">
        <f>D24*D26%*D12/365</f>
        <v>130.80608444876339</v>
      </c>
      <c r="E27" s="394">
        <f>E24*E26%</f>
        <v>410.25343249427914</v>
      </c>
      <c r="F27" s="394">
        <f>F24*F26%</f>
        <v>440.69908221797334</v>
      </c>
      <c r="G27" s="394">
        <f>G24*G26</f>
        <v>441.92037887244322</v>
      </c>
      <c r="H27" s="394">
        <f>H24*H26</f>
        <v>494.47080754449979</v>
      </c>
      <c r="I27" s="394">
        <f>I24*I26</f>
        <v>496.2428102714079</v>
      </c>
      <c r="J27" s="394">
        <f>J24*J26</f>
        <v>499.05172347779023</v>
      </c>
      <c r="K27" s="1048">
        <f>K24*K26</f>
        <v>501.10915211794418</v>
      </c>
    </row>
    <row r="28" spans="2:11" ht="15.75">
      <c r="B28" s="1148"/>
      <c r="C28" s="1665"/>
      <c r="D28" s="1665"/>
      <c r="E28" s="1665"/>
      <c r="F28" s="1665"/>
      <c r="G28" s="1662"/>
      <c r="H28" s="1662"/>
      <c r="I28" s="1662"/>
      <c r="J28" s="1662"/>
      <c r="K28" s="1142"/>
    </row>
    <row r="29" spans="2:11" ht="15.75" hidden="1">
      <c r="B29" s="1148" t="s">
        <v>940</v>
      </c>
      <c r="C29" s="1665"/>
      <c r="D29" s="1665"/>
      <c r="E29" s="1665"/>
      <c r="F29" s="1665"/>
      <c r="G29" s="1662"/>
      <c r="H29" s="1662"/>
      <c r="I29" s="1662"/>
      <c r="J29" s="1662"/>
      <c r="K29" s="1142"/>
    </row>
    <row r="30" spans="2:11" ht="15.75">
      <c r="B30" s="1141"/>
      <c r="C30" s="1666"/>
      <c r="D30" s="1666"/>
      <c r="E30" s="1666"/>
      <c r="F30" s="1666"/>
      <c r="G30" s="1662"/>
      <c r="H30" s="1662"/>
      <c r="I30" s="1662"/>
      <c r="J30" s="1662"/>
      <c r="K30" s="1142"/>
    </row>
    <row r="31" spans="2:11" ht="15.75">
      <c r="B31" s="1141"/>
      <c r="C31" s="1661"/>
      <c r="D31" s="1661"/>
      <c r="E31" s="1661"/>
      <c r="F31" s="1661"/>
      <c r="G31" s="1662"/>
      <c r="H31" s="1662"/>
      <c r="I31" s="1662"/>
      <c r="J31" s="1662"/>
      <c r="K31" s="1142"/>
    </row>
    <row r="32" spans="2:11" ht="18.75">
      <c r="B32" s="1141"/>
      <c r="C32" s="1661"/>
      <c r="D32" s="1661"/>
      <c r="E32" s="1661"/>
      <c r="F32" s="1662"/>
      <c r="G32" s="1662"/>
      <c r="H32" s="1662"/>
      <c r="I32" s="1662"/>
      <c r="J32" s="1667" t="s">
        <v>700</v>
      </c>
      <c r="K32" s="1142"/>
    </row>
    <row r="33" spans="2:11" ht="16.5" thickBot="1">
      <c r="B33" s="1149"/>
      <c r="C33" s="1150"/>
      <c r="D33" s="1150"/>
      <c r="E33" s="1150"/>
      <c r="F33" s="1150"/>
      <c r="G33" s="1151"/>
      <c r="H33" s="1151"/>
      <c r="I33" s="1151"/>
      <c r="J33" s="1151"/>
      <c r="K33" s="1152"/>
    </row>
  </sheetData>
  <mergeCells count="6">
    <mergeCell ref="B4:K4"/>
    <mergeCell ref="J9:K9"/>
    <mergeCell ref="C6:K6"/>
    <mergeCell ref="C7:K7"/>
    <mergeCell ref="J1:K1"/>
    <mergeCell ref="J2:K2"/>
  </mergeCells>
  <pageMargins left="0.7" right="0.7" top="0.75" bottom="0.75" header="0.3" footer="0.3"/>
  <pageSetup paperSize="9" scale="87" orientation="portrait" r:id="rId1"/>
  <legacyDrawing r:id="rId2"/>
</worksheet>
</file>

<file path=xl/worksheets/sheet25.xml><?xml version="1.0" encoding="utf-8"?>
<worksheet xmlns="http://schemas.openxmlformats.org/spreadsheetml/2006/main" xmlns:r="http://schemas.openxmlformats.org/officeDocument/2006/relationships">
  <sheetPr>
    <outlinePr summaryBelow="0" summaryRight="0"/>
    <pageSetUpPr fitToPage="1"/>
  </sheetPr>
  <dimension ref="B2:S36"/>
  <sheetViews>
    <sheetView showGridLines="0" topLeftCell="A13" zoomScaleNormal="100" zoomScaleSheetLayoutView="115" workbookViewId="0">
      <selection activeCell="J17" sqref="J17"/>
    </sheetView>
  </sheetViews>
  <sheetFormatPr defaultColWidth="9.33203125" defaultRowHeight="15.75"/>
  <cols>
    <col min="1" max="1" width="9.33203125" style="118"/>
    <col min="2" max="2" width="7.1640625" style="118" customWidth="1"/>
    <col min="3" max="3" width="51.5" style="118" customWidth="1"/>
    <col min="4" max="4" width="17.5" style="118" hidden="1" customWidth="1"/>
    <col min="5" max="5" width="15.5" style="118" hidden="1" customWidth="1"/>
    <col min="6" max="6" width="15.83203125" style="118" hidden="1" customWidth="1"/>
    <col min="7" max="7" width="16.6640625" style="118" hidden="1" customWidth="1"/>
    <col min="8" max="8" width="14.6640625" style="118" customWidth="1"/>
    <col min="9" max="9" width="22.33203125" style="118" customWidth="1"/>
    <col min="10" max="10" width="21" style="118" customWidth="1"/>
    <col min="11" max="11" width="14" style="118" hidden="1" customWidth="1"/>
    <col min="12" max="12" width="13.83203125" style="118" customWidth="1"/>
    <col min="13" max="13" width="13.6640625" style="118" customWidth="1"/>
    <col min="14" max="14" width="13.5" style="118" customWidth="1"/>
    <col min="15" max="15" width="9.33203125" style="118"/>
    <col min="16" max="19" width="11.5" style="122" bestFit="1" customWidth="1"/>
    <col min="20" max="16384" width="9.33203125" style="118"/>
  </cols>
  <sheetData>
    <row r="2" spans="2:19" ht="16.5" thickBot="1">
      <c r="G2" s="139"/>
    </row>
    <row r="3" spans="2:19" s="123" customFormat="1">
      <c r="B3" s="124"/>
      <c r="C3" s="125"/>
      <c r="D3" s="125"/>
      <c r="E3" s="125"/>
      <c r="F3" s="125"/>
      <c r="G3" s="125"/>
      <c r="H3" s="125"/>
      <c r="I3" s="125"/>
      <c r="J3" s="125"/>
      <c r="K3" s="125"/>
      <c r="L3" s="125"/>
      <c r="M3" s="125" t="s">
        <v>372</v>
      </c>
      <c r="N3" s="126"/>
      <c r="P3" s="127"/>
      <c r="Q3" s="127"/>
      <c r="R3" s="127"/>
      <c r="S3" s="127"/>
    </row>
    <row r="4" spans="2:19" s="128" customFormat="1">
      <c r="B4" s="132"/>
      <c r="C4" s="1545"/>
      <c r="D4" s="1546"/>
      <c r="E4" s="1546"/>
      <c r="F4" s="1545"/>
      <c r="G4" s="1545"/>
      <c r="H4" s="1545"/>
      <c r="I4" s="1545"/>
      <c r="J4" s="1545"/>
      <c r="K4" s="1545"/>
      <c r="L4" s="1545"/>
      <c r="M4" s="1546" t="s">
        <v>834</v>
      </c>
      <c r="N4" s="133"/>
      <c r="P4" s="129"/>
      <c r="Q4" s="129"/>
      <c r="R4" s="129"/>
      <c r="S4" s="129"/>
    </row>
    <row r="5" spans="2:19" s="130" customFormat="1" ht="18.75">
      <c r="B5" s="2000" t="s">
        <v>374</v>
      </c>
      <c r="C5" s="2001"/>
      <c r="D5" s="2001"/>
      <c r="E5" s="2001"/>
      <c r="F5" s="2001"/>
      <c r="G5" s="2001"/>
      <c r="H5" s="2001"/>
      <c r="I5" s="2001"/>
      <c r="J5" s="2001"/>
      <c r="K5" s="2001"/>
      <c r="L5" s="2001"/>
      <c r="M5" s="2001"/>
      <c r="N5" s="2002"/>
      <c r="P5" s="131"/>
      <c r="Q5" s="131"/>
      <c r="R5" s="131"/>
      <c r="S5" s="131"/>
    </row>
    <row r="6" spans="2:19" s="130" customFormat="1">
      <c r="B6" s="423"/>
      <c r="C6" s="1547"/>
      <c r="D6" s="1547"/>
      <c r="E6" s="1547"/>
      <c r="F6" s="1547"/>
      <c r="G6" s="1547"/>
      <c r="H6" s="1548"/>
      <c r="I6" s="1548"/>
      <c r="J6" s="1548"/>
      <c r="K6" s="1548"/>
      <c r="L6" s="1548"/>
      <c r="M6" s="1548"/>
      <c r="N6" s="451"/>
      <c r="P6" s="131"/>
      <c r="Q6" s="131"/>
      <c r="R6" s="131"/>
      <c r="S6" s="131"/>
    </row>
    <row r="7" spans="2:19" s="123" customFormat="1">
      <c r="B7" s="132" t="s">
        <v>871</v>
      </c>
      <c r="C7" s="1545"/>
      <c r="D7" s="2005" t="str">
        <f>'Form 13A'!C6</f>
        <v>The Singareni Collieries Company Limited</v>
      </c>
      <c r="E7" s="2005"/>
      <c r="F7" s="2005"/>
      <c r="G7" s="2005"/>
      <c r="H7" s="2005"/>
      <c r="I7" s="2005"/>
      <c r="J7" s="2005"/>
      <c r="K7" s="2005"/>
      <c r="L7" s="2005"/>
      <c r="M7" s="2005"/>
      <c r="N7" s="2006"/>
      <c r="P7" s="127"/>
      <c r="Q7" s="127"/>
      <c r="R7" s="127"/>
      <c r="S7" s="127"/>
    </row>
    <row r="8" spans="2:19" s="123" customFormat="1">
      <c r="B8" s="132" t="s">
        <v>872</v>
      </c>
      <c r="C8" s="1545"/>
      <c r="D8" s="2005" t="str">
        <f>'Form 13A'!C7</f>
        <v>Singareni Thermal Power Project</v>
      </c>
      <c r="E8" s="2005"/>
      <c r="F8" s="2005"/>
      <c r="G8" s="2005"/>
      <c r="H8" s="2005"/>
      <c r="I8" s="2005"/>
      <c r="J8" s="2005"/>
      <c r="K8" s="2005"/>
      <c r="L8" s="2005"/>
      <c r="M8" s="2005"/>
      <c r="N8" s="2006"/>
      <c r="P8" s="127"/>
      <c r="Q8" s="127"/>
      <c r="R8" s="127"/>
      <c r="S8" s="127"/>
    </row>
    <row r="9" spans="2:19" s="134" customFormat="1">
      <c r="B9" s="135"/>
      <c r="C9" s="1549"/>
      <c r="D9" s="1549"/>
      <c r="E9" s="1549"/>
      <c r="F9" s="1549"/>
      <c r="G9" s="1549"/>
      <c r="H9" s="1549"/>
      <c r="I9" s="1549"/>
      <c r="J9" s="1549"/>
      <c r="K9" s="1549"/>
      <c r="L9" s="1549"/>
      <c r="M9" s="1549"/>
      <c r="N9" s="136"/>
      <c r="O9" s="134" t="s">
        <v>344</v>
      </c>
      <c r="P9" s="137"/>
      <c r="Q9" s="137"/>
      <c r="R9" s="137"/>
      <c r="S9" s="137"/>
    </row>
    <row r="10" spans="2:19">
      <c r="B10" s="145"/>
      <c r="C10" s="1550"/>
      <c r="D10" s="1550"/>
      <c r="E10" s="1550"/>
      <c r="F10" s="1549"/>
      <c r="G10" s="1550"/>
      <c r="H10" s="1550"/>
      <c r="I10" s="1550"/>
      <c r="J10" s="1550"/>
      <c r="K10" s="1550"/>
      <c r="L10" s="1550"/>
      <c r="M10" s="2003" t="s">
        <v>840</v>
      </c>
      <c r="N10" s="2004"/>
    </row>
    <row r="11" spans="2:19" s="140" customFormat="1" ht="63.75" customHeight="1">
      <c r="B11" s="2007" t="s">
        <v>375</v>
      </c>
      <c r="C11" s="746" t="s">
        <v>376</v>
      </c>
      <c r="D11" s="141" t="str">
        <f>'Form 14'!C10</f>
        <v>From COD Unit 1 to COD of Unit 2</v>
      </c>
      <c r="E11" s="141" t="str">
        <f>'Form 14'!D10</f>
        <v>From COD Unit 2 to 31.03.2017</v>
      </c>
      <c r="F11" s="141" t="str">
        <f>'Form 14'!E10</f>
        <v>FY 2017-18</v>
      </c>
      <c r="G11" s="448" t="str">
        <f>'Form 14'!F10</f>
        <v>FY 2018-19</v>
      </c>
      <c r="H11" s="141" t="s">
        <v>856</v>
      </c>
      <c r="I11" s="1761" t="s">
        <v>857</v>
      </c>
      <c r="J11" s="1761"/>
      <c r="K11" s="141" t="s">
        <v>857</v>
      </c>
      <c r="L11" s="141" t="s">
        <v>858</v>
      </c>
      <c r="M11" s="141" t="s">
        <v>859</v>
      </c>
      <c r="N11" s="419" t="s">
        <v>860</v>
      </c>
      <c r="P11" s="142"/>
      <c r="Q11" s="142"/>
      <c r="R11" s="142"/>
      <c r="S11" s="142"/>
    </row>
    <row r="12" spans="2:19" s="140" customFormat="1" ht="72.75" customHeight="1">
      <c r="B12" s="2008"/>
      <c r="C12" s="1997" t="s">
        <v>676</v>
      </c>
      <c r="D12" s="1372">
        <v>-3</v>
      </c>
      <c r="E12" s="1372">
        <v>-4</v>
      </c>
      <c r="F12" s="1372">
        <v>-5</v>
      </c>
      <c r="G12" s="450">
        <v>-6</v>
      </c>
      <c r="H12" s="1997">
        <v>366</v>
      </c>
      <c r="I12" s="157" t="s">
        <v>1279</v>
      </c>
      <c r="J12" s="157" t="s">
        <v>1280</v>
      </c>
      <c r="K12" s="450">
        <v>-8</v>
      </c>
      <c r="L12" s="1997">
        <v>365</v>
      </c>
      <c r="M12" s="1997">
        <v>365</v>
      </c>
      <c r="N12" s="1999">
        <v>366</v>
      </c>
      <c r="P12" s="142"/>
      <c r="Q12" s="749"/>
      <c r="R12" s="142"/>
      <c r="S12" s="142"/>
    </row>
    <row r="13" spans="2:19" s="140" customFormat="1" ht="16.899999999999999" customHeight="1">
      <c r="B13" s="2009"/>
      <c r="C13" s="1998"/>
      <c r="D13" s="1372">
        <f>'Form 13'!F12</f>
        <v>68</v>
      </c>
      <c r="E13" s="1372">
        <f>'Form 13'!G12</f>
        <v>120</v>
      </c>
      <c r="F13" s="1372">
        <f>'Form 13'!H12</f>
        <v>365</v>
      </c>
      <c r="G13" s="450">
        <f>'Form 13'!I12</f>
        <v>365</v>
      </c>
      <c r="H13" s="1998"/>
      <c r="I13" s="1372">
        <v>197</v>
      </c>
      <c r="J13" s="1372">
        <f>365-I13</f>
        <v>168</v>
      </c>
      <c r="K13" s="450">
        <v>365</v>
      </c>
      <c r="L13" s="1998"/>
      <c r="M13" s="1998"/>
      <c r="N13" s="1999"/>
      <c r="P13" s="142"/>
      <c r="Q13" s="749"/>
      <c r="R13" s="142"/>
      <c r="S13" s="142"/>
    </row>
    <row r="14" spans="2:19" s="143" customFormat="1" ht="17.100000000000001" customHeight="1">
      <c r="B14" s="422">
        <v>1</v>
      </c>
      <c r="C14" s="518" t="s">
        <v>377</v>
      </c>
      <c r="D14" s="590">
        <f>'Form 13A'!C14-'Form 13A'!C21</f>
        <v>2451.33</v>
      </c>
      <c r="E14" s="590">
        <f>'Form 13A'!D14-'Form 13A'!D21</f>
        <v>4693.9970000000003</v>
      </c>
      <c r="F14" s="590">
        <f>'Form 13A'!E14-'Form 13A'!E21</f>
        <v>4728.5560000000005</v>
      </c>
      <c r="G14" s="702">
        <f>'Form 13A'!F14-'Form 13A'!F21</f>
        <v>4987.3040000000001</v>
      </c>
      <c r="H14" s="702">
        <f>'Form 13A'!G14-'Form 13A'!G21</f>
        <v>5421.7240000000002</v>
      </c>
      <c r="I14" s="702">
        <f>H14+H17</f>
        <v>5558.7334276600004</v>
      </c>
      <c r="J14" s="702">
        <f>I14+I17</f>
        <v>5571.1429919887678</v>
      </c>
      <c r="K14" s="702">
        <f>'Form 13A'!H14-'Form 13A'!H21</f>
        <v>5558.7334276600013</v>
      </c>
      <c r="L14" s="702">
        <f>'Form 13A'!I14-'Form 13A'!I21</f>
        <v>5581.7257676600011</v>
      </c>
      <c r="M14" s="702">
        <f>'Form 13A'!J14-'Form 13A'!J21</f>
        <v>5598.6567634200001</v>
      </c>
      <c r="N14" s="703">
        <f>'Form 13A'!K14-'Form 13A'!K21</f>
        <v>5645.0107634200012</v>
      </c>
      <c r="O14" s="144"/>
      <c r="P14" s="144"/>
      <c r="Q14" s="749"/>
      <c r="R14" s="144"/>
      <c r="S14" s="144"/>
    </row>
    <row r="15" spans="2:19" s="143" customFormat="1" ht="33.200000000000003" customHeight="1">
      <c r="B15" s="422">
        <v>2</v>
      </c>
      <c r="C15" s="518" t="s">
        <v>1441</v>
      </c>
      <c r="D15" s="590">
        <v>0</v>
      </c>
      <c r="E15" s="590">
        <f>'Form-11'!B23</f>
        <v>33.829735395433573</v>
      </c>
      <c r="F15" s="590">
        <f>'Form-11'!C23</f>
        <v>148.56786005553363</v>
      </c>
      <c r="G15" s="590">
        <f>'Form-11'!D23</f>
        <v>507.53885349602967</v>
      </c>
      <c r="H15" s="590">
        <f>'Form-11'!E23</f>
        <v>890.31448999406234</v>
      </c>
      <c r="I15" s="590">
        <f>H15+H18</f>
        <v>1295.5367454975778</v>
      </c>
      <c r="J15" s="590">
        <f>I15+I18</f>
        <v>1517.5072297154102</v>
      </c>
      <c r="K15" s="590">
        <f>'Form-11'!F23</f>
        <v>1295.5367454975778</v>
      </c>
      <c r="L15" s="590">
        <f>J15+J18</f>
        <v>1706.8018558504145</v>
      </c>
      <c r="M15" s="590">
        <f>L15+L18</f>
        <v>2119.5906502809785</v>
      </c>
      <c r="N15" s="703">
        <f>M15+M18</f>
        <v>2534.7159781023001</v>
      </c>
      <c r="O15" s="144"/>
      <c r="P15" s="144"/>
      <c r="Q15" s="144"/>
      <c r="R15" s="144"/>
      <c r="S15" s="144"/>
    </row>
    <row r="16" spans="2:19" s="143" customFormat="1" ht="17.100000000000001" customHeight="1">
      <c r="B16" s="422">
        <v>3</v>
      </c>
      <c r="C16" s="519" t="s">
        <v>378</v>
      </c>
      <c r="D16" s="590">
        <f>D14-D15</f>
        <v>2451.33</v>
      </c>
      <c r="E16" s="590">
        <f>E14-E15</f>
        <v>4660.1672646045663</v>
      </c>
      <c r="F16" s="590">
        <f>F14-F15</f>
        <v>4579.9881399444666</v>
      </c>
      <c r="G16" s="702">
        <f>G14-G15</f>
        <v>4479.7651465039708</v>
      </c>
      <c r="H16" s="702">
        <f t="shared" ref="H16:N16" si="0">H14-H15</f>
        <v>4531.4095100059376</v>
      </c>
      <c r="I16" s="702">
        <f t="shared" si="0"/>
        <v>4263.1966821624228</v>
      </c>
      <c r="J16" s="702">
        <f t="shared" ref="J16" si="1">J14-J15</f>
        <v>4053.6357622733576</v>
      </c>
      <c r="K16" s="702">
        <f t="shared" si="0"/>
        <v>4263.1966821624237</v>
      </c>
      <c r="L16" s="702">
        <f t="shared" si="0"/>
        <v>3874.9239118095866</v>
      </c>
      <c r="M16" s="702">
        <f t="shared" si="0"/>
        <v>3479.0661131390216</v>
      </c>
      <c r="N16" s="703">
        <f t="shared" si="0"/>
        <v>3110.2947853177011</v>
      </c>
      <c r="O16" s="144"/>
      <c r="P16" s="144"/>
      <c r="Q16" s="144"/>
      <c r="R16" s="144"/>
      <c r="S16" s="144"/>
    </row>
    <row r="17" spans="2:19" s="143" customFormat="1" ht="38.25" customHeight="1">
      <c r="B17" s="422">
        <v>4</v>
      </c>
      <c r="C17" s="518" t="s">
        <v>751</v>
      </c>
      <c r="D17" s="590">
        <f>'Form 13A'!C15+'Form 13A'!C16-'Form 13A'!C22</f>
        <v>0</v>
      </c>
      <c r="E17" s="590">
        <f>'Form 13A'!D15+'Form 13A'!D16-'Form 13A'!D22</f>
        <v>34.558999999999997</v>
      </c>
      <c r="F17" s="590">
        <f>'Form 13A'!E15+'Form 13A'!E16-'Form 13A'!E22</f>
        <v>258.74799999999999</v>
      </c>
      <c r="G17" s="702">
        <f>'Form 13A'!F15+'Form 13A'!F16-'Form 13A'!F22</f>
        <v>434.42</v>
      </c>
      <c r="H17" s="702">
        <f>'Form 13A'!G15+'Form 13A'!G16-'Form 13A'!G22</f>
        <v>137.00942766000051</v>
      </c>
      <c r="I17" s="702">
        <f>('Form 13A'!H15+'Form 13A'!H16-'Form 13A'!H22)*I13/365</f>
        <v>12.40956432876712</v>
      </c>
      <c r="J17" s="702">
        <f>('Form 13A'!H15+'Form 13A'!H16-'Form 13A'!H22)*J13/365</f>
        <v>10.582775671232874</v>
      </c>
      <c r="K17" s="702">
        <f>'Form 13A'!H15+'Form 13A'!H16-'Form 13A'!H22</f>
        <v>22.992339999999992</v>
      </c>
      <c r="L17" s="702">
        <f>'Form 13A'!I15+'Form 13A'!I16-'Form 13A'!I22</f>
        <v>16.930995759999256</v>
      </c>
      <c r="M17" s="702">
        <f>'Form 13A'!J15+'Form 13A'!J16-'Form 13A'!J22</f>
        <v>46.353999999999999</v>
      </c>
      <c r="N17" s="703">
        <f>'Form 13A'!K15+'Form 13A'!K16-'Form 13A'!K22</f>
        <v>0</v>
      </c>
      <c r="O17" s="144"/>
      <c r="P17" s="144"/>
      <c r="Q17" s="144"/>
      <c r="R17" s="144"/>
      <c r="S17" s="144"/>
    </row>
    <row r="18" spans="2:19" s="143" customFormat="1" ht="38.25" customHeight="1">
      <c r="B18" s="422">
        <v>5</v>
      </c>
      <c r="C18" s="518" t="s">
        <v>379</v>
      </c>
      <c r="D18" s="590">
        <f>'Form-11'!B22</f>
        <v>33.829735395433573</v>
      </c>
      <c r="E18" s="590">
        <f>'Form-11'!C22</f>
        <v>114.73812466010006</v>
      </c>
      <c r="F18" s="590">
        <f>'Form-11'!D22</f>
        <v>358.97099344049604</v>
      </c>
      <c r="G18" s="702">
        <f>'Form-11'!E22</f>
        <v>382.77563649803272</v>
      </c>
      <c r="H18" s="702">
        <f>'Form-11'!F22</f>
        <v>405.2222555035155</v>
      </c>
      <c r="I18" s="702">
        <f>'Form-11'!G22*I13/365</f>
        <v>221.97048421783239</v>
      </c>
      <c r="J18" s="702">
        <f>'Form-11'!G22*J13/365</f>
        <v>189.29462613500428</v>
      </c>
      <c r="K18" s="702">
        <f>'Form-11'!G22</f>
        <v>411.2651103528367</v>
      </c>
      <c r="L18" s="702">
        <f>'Form-11'!H22</f>
        <v>412.788794430564</v>
      </c>
      <c r="M18" s="702">
        <f>'Form-11'!I22</f>
        <v>415.12532782132183</v>
      </c>
      <c r="N18" s="703">
        <f>'Form-11'!J22</f>
        <v>416.83675511138483</v>
      </c>
      <c r="O18" s="144"/>
      <c r="P18" s="144"/>
      <c r="Q18" s="144"/>
      <c r="R18" s="144"/>
      <c r="S18" s="144"/>
    </row>
    <row r="19" spans="2:19" s="143" customFormat="1" ht="18.75" customHeight="1">
      <c r="B19" s="422">
        <v>6</v>
      </c>
      <c r="C19" s="519" t="s">
        <v>380</v>
      </c>
      <c r="D19" s="590">
        <f>D16+D17-D18</f>
        <v>2417.5002646045664</v>
      </c>
      <c r="E19" s="590">
        <f>E16+E17-E18</f>
        <v>4579.9881399444666</v>
      </c>
      <c r="F19" s="590">
        <f>F16+F17-F18</f>
        <v>4479.7651465039698</v>
      </c>
      <c r="G19" s="702">
        <f>G16+G17-G18</f>
        <v>4531.4095100059385</v>
      </c>
      <c r="H19" s="702">
        <f t="shared" ref="H19:N19" si="2">H16+H17-H18</f>
        <v>4263.1966821624228</v>
      </c>
      <c r="I19" s="702">
        <f t="shared" ref="I19:J19" si="3">I16+I17-I18</f>
        <v>4053.6357622733576</v>
      </c>
      <c r="J19" s="702">
        <f t="shared" si="3"/>
        <v>3874.9239118095861</v>
      </c>
      <c r="K19" s="702">
        <f t="shared" si="2"/>
        <v>3874.9239118095866</v>
      </c>
      <c r="L19" s="702">
        <f t="shared" si="2"/>
        <v>3479.066113139022</v>
      </c>
      <c r="M19" s="702">
        <f t="shared" si="2"/>
        <v>3110.2947853176997</v>
      </c>
      <c r="N19" s="703">
        <f t="shared" si="2"/>
        <v>2693.4580302063164</v>
      </c>
      <c r="O19" s="144"/>
      <c r="P19" s="144"/>
      <c r="Q19" s="144"/>
      <c r="R19" s="144"/>
      <c r="S19" s="144"/>
    </row>
    <row r="20" spans="2:19" s="143" customFormat="1" ht="18.95" customHeight="1">
      <c r="B20" s="422">
        <v>7</v>
      </c>
      <c r="C20" s="519" t="s">
        <v>381</v>
      </c>
      <c r="D20" s="590">
        <f>(D16+D19)/2</f>
        <v>2434.4151323022834</v>
      </c>
      <c r="E20" s="590">
        <f>(E16+E19)/2</f>
        <v>4620.0777022745169</v>
      </c>
      <c r="F20" s="590">
        <f>(F16+F19)/2</f>
        <v>4529.8766432242182</v>
      </c>
      <c r="G20" s="702">
        <f>(G16+G19)/2</f>
        <v>4505.5873282549546</v>
      </c>
      <c r="H20" s="702">
        <f t="shared" ref="H20:N20" si="4">(H16+H19)/2</f>
        <v>4397.3030960841807</v>
      </c>
      <c r="I20" s="702">
        <f t="shared" ref="I20:J20" si="5">(I16+I19)/2</f>
        <v>4158.4162222178902</v>
      </c>
      <c r="J20" s="702">
        <f t="shared" si="5"/>
        <v>3964.2798370414721</v>
      </c>
      <c r="K20" s="702">
        <f t="shared" si="4"/>
        <v>4069.0602969860051</v>
      </c>
      <c r="L20" s="702">
        <f t="shared" si="4"/>
        <v>3676.9950124743045</v>
      </c>
      <c r="M20" s="702">
        <f t="shared" si="4"/>
        <v>3294.6804492283609</v>
      </c>
      <c r="N20" s="703">
        <f t="shared" si="4"/>
        <v>2901.876407762009</v>
      </c>
      <c r="O20" s="144"/>
      <c r="P20" s="144"/>
      <c r="Q20" s="144"/>
      <c r="R20" s="144"/>
      <c r="S20" s="144"/>
    </row>
    <row r="21" spans="2:19" s="143" customFormat="1" ht="19.350000000000001" customHeight="1">
      <c r="B21" s="422">
        <v>8</v>
      </c>
      <c r="C21" s="518" t="s">
        <v>382</v>
      </c>
      <c r="D21" s="588">
        <v>0.11692</v>
      </c>
      <c r="E21" s="588">
        <v>9.9057999999999993E-2</v>
      </c>
      <c r="F21" s="588">
        <v>9.3765000000000001E-2</v>
      </c>
      <c r="G21" s="704">
        <v>9.1393299999999997E-2</v>
      </c>
      <c r="H21" s="704">
        <f>'Loan Refinance'!H28</f>
        <v>9.5215095577299402E-2</v>
      </c>
      <c r="I21" s="704">
        <f>'Loan Refinance'!I28</f>
        <v>0.10195915094509365</v>
      </c>
      <c r="J21" s="704">
        <f>I21</f>
        <v>0.10195915094509365</v>
      </c>
      <c r="K21" s="704">
        <f t="shared" ref="K21:N21" si="6">J21</f>
        <v>0.10195915094509365</v>
      </c>
      <c r="L21" s="704">
        <f t="shared" si="6"/>
        <v>0.10195915094509365</v>
      </c>
      <c r="M21" s="704">
        <f t="shared" si="6"/>
        <v>0.10195915094509365</v>
      </c>
      <c r="N21" s="1199">
        <f t="shared" si="6"/>
        <v>0.10195915094509365</v>
      </c>
      <c r="O21" s="144"/>
      <c r="P21" s="144"/>
      <c r="Q21" s="144"/>
      <c r="R21" s="144"/>
      <c r="S21" s="144"/>
    </row>
    <row r="22" spans="2:19" s="143" customFormat="1" ht="17.45" customHeight="1">
      <c r="B22" s="422">
        <v>9</v>
      </c>
      <c r="C22" s="519" t="s">
        <v>383</v>
      </c>
      <c r="D22" s="705">
        <f>D20*D21/365*D13</f>
        <v>53.027297463773266</v>
      </c>
      <c r="E22" s="705">
        <f>E20*E21/365*E13</f>
        <v>150.46213381870984</v>
      </c>
      <c r="F22" s="705">
        <f>F20*F21/365*F13</f>
        <v>424.74388345191886</v>
      </c>
      <c r="G22" s="706">
        <f>G20*G21/365*G13</f>
        <v>411.78049436740355</v>
      </c>
      <c r="H22" s="706">
        <f>H20*H21</f>
        <v>418.68963457600984</v>
      </c>
      <c r="I22" s="706">
        <f>I20*I21*I13/365</f>
        <v>228.83767588177281</v>
      </c>
      <c r="J22" s="706">
        <f>J20*J21*J13/365</f>
        <v>186.04025714331087</v>
      </c>
      <c r="K22" s="706">
        <f t="shared" ref="K22:N22" si="7">K20*K21</f>
        <v>414.87793302508373</v>
      </c>
      <c r="L22" s="706">
        <f t="shared" si="7"/>
        <v>374.90328950122415</v>
      </c>
      <c r="M22" s="706">
        <f t="shared" si="7"/>
        <v>335.92282123872343</v>
      </c>
      <c r="N22" s="707">
        <f t="shared" si="7"/>
        <v>295.8728546830128</v>
      </c>
      <c r="O22" s="144"/>
      <c r="P22" s="144"/>
      <c r="Q22" s="144"/>
      <c r="R22" s="144"/>
      <c r="S22" s="144"/>
    </row>
    <row r="23" spans="2:19" hidden="1">
      <c r="B23" s="422">
        <v>10</v>
      </c>
      <c r="C23" s="730" t="s">
        <v>1093</v>
      </c>
      <c r="D23" s="229"/>
      <c r="E23" s="229"/>
      <c r="F23" s="229"/>
      <c r="G23" s="229">
        <v>0</v>
      </c>
      <c r="H23" s="229">
        <v>0</v>
      </c>
      <c r="I23" s="229">
        <v>0</v>
      </c>
      <c r="J23" s="731">
        <f>'Loan Refinance'!J29</f>
        <v>77.842430199999995</v>
      </c>
      <c r="K23" s="229">
        <f>'Loan Refinance'!J29</f>
        <v>77.842430199999995</v>
      </c>
      <c r="L23" s="229">
        <v>0</v>
      </c>
      <c r="M23" s="229">
        <v>0</v>
      </c>
      <c r="N23" s="680">
        <v>0</v>
      </c>
    </row>
    <row r="24" spans="2:19">
      <c r="B24" s="145"/>
      <c r="C24" s="1550"/>
      <c r="D24" s="1550"/>
      <c r="E24" s="1550"/>
      <c r="F24" s="1550"/>
      <c r="G24" s="1550"/>
      <c r="H24" s="1550"/>
      <c r="I24" s="1550"/>
      <c r="J24" s="1550"/>
      <c r="K24" s="1550"/>
      <c r="L24" s="1550"/>
      <c r="M24" s="1550"/>
      <c r="N24" s="146"/>
    </row>
    <row r="25" spans="2:19">
      <c r="B25" s="145" t="s">
        <v>1442</v>
      </c>
      <c r="C25" s="1550"/>
      <c r="D25" s="1550"/>
      <c r="E25" s="1550"/>
      <c r="F25" s="1550"/>
      <c r="G25" s="1550"/>
      <c r="H25" s="1550"/>
      <c r="I25" s="1550"/>
      <c r="J25" s="1550"/>
      <c r="K25" s="1550"/>
      <c r="L25" s="1550"/>
      <c r="M25" s="1550"/>
      <c r="N25" s="146"/>
    </row>
    <row r="26" spans="2:19" ht="16.5" thickBot="1">
      <c r="B26" s="138"/>
      <c r="C26" s="139"/>
      <c r="D26" s="139"/>
      <c r="E26" s="139"/>
      <c r="F26" s="139"/>
      <c r="G26" s="139"/>
      <c r="H26" s="139"/>
      <c r="I26" s="139"/>
      <c r="J26" s="139"/>
      <c r="K26" s="139"/>
      <c r="L26" s="139"/>
      <c r="M26" s="477" t="s">
        <v>289</v>
      </c>
      <c r="N26" s="478"/>
    </row>
    <row r="27" spans="2:19" hidden="1"/>
    <row r="28" spans="2:19" hidden="1">
      <c r="H28" s="576">
        <f>K14-$H$14</f>
        <v>137.00942766000117</v>
      </c>
      <c r="I28" s="576"/>
      <c r="J28" s="576"/>
      <c r="K28" s="576">
        <f t="shared" ref="K28:M28" si="8">L14-$H$14</f>
        <v>160.00176766000095</v>
      </c>
      <c r="L28" s="576">
        <f t="shared" si="8"/>
        <v>176.9327634199999</v>
      </c>
      <c r="M28" s="576">
        <f t="shared" si="8"/>
        <v>223.28676342000108</v>
      </c>
      <c r="N28" s="576">
        <f>M28</f>
        <v>223.28676342000108</v>
      </c>
      <c r="O28" s="576">
        <f>SUM(H28:N28)</f>
        <v>920.51748558000418</v>
      </c>
      <c r="P28" s="578">
        <f>O28+G14</f>
        <v>5907.8214855800043</v>
      </c>
      <c r="Q28" s="122">
        <f>P28/0.7</f>
        <v>8439.7449794000058</v>
      </c>
    </row>
    <row r="29" spans="2:19" hidden="1">
      <c r="H29" s="577">
        <f>H28/12</f>
        <v>11.417452305000097</v>
      </c>
      <c r="I29" s="577"/>
      <c r="J29" s="577"/>
      <c r="K29" s="577">
        <f t="shared" ref="K29:N29" si="9">K28/12</f>
        <v>13.333480638333413</v>
      </c>
      <c r="L29" s="577">
        <f t="shared" si="9"/>
        <v>14.744396951666658</v>
      </c>
      <c r="M29" s="577">
        <f t="shared" si="9"/>
        <v>18.607230285000089</v>
      </c>
      <c r="N29" s="577">
        <f t="shared" si="9"/>
        <v>18.607230285000089</v>
      </c>
      <c r="O29" s="575"/>
      <c r="P29" s="578"/>
    </row>
    <row r="30" spans="2:19" hidden="1">
      <c r="H30" s="118">
        <v>424</v>
      </c>
      <c r="K30" s="118">
        <v>424</v>
      </c>
      <c r="L30" s="118">
        <v>424</v>
      </c>
      <c r="M30" s="118">
        <v>424</v>
      </c>
      <c r="N30" s="118">
        <v>424</v>
      </c>
    </row>
    <row r="31" spans="2:19" hidden="1">
      <c r="H31" s="147">
        <f>H29+H30</f>
        <v>435.4174523050001</v>
      </c>
      <c r="I31" s="147"/>
      <c r="J31" s="147"/>
      <c r="K31" s="147">
        <f t="shared" ref="K31:N31" si="10">K29+K30</f>
        <v>437.33348063833341</v>
      </c>
      <c r="L31" s="147">
        <f t="shared" si="10"/>
        <v>438.74439695166666</v>
      </c>
      <c r="M31" s="147">
        <f t="shared" si="10"/>
        <v>442.60723028500007</v>
      </c>
      <c r="N31" s="147">
        <f t="shared" si="10"/>
        <v>442.60723028500007</v>
      </c>
    </row>
    <row r="32" spans="2:19" hidden="1">
      <c r="H32" s="118">
        <v>447.82594789563325</v>
      </c>
      <c r="K32" s="118">
        <v>457.1539143713951</v>
      </c>
      <c r="L32" s="118">
        <v>482.8000263042984</v>
      </c>
      <c r="M32" s="118">
        <v>504.52429512423191</v>
      </c>
      <c r="N32" s="118">
        <v>504.52429512423191</v>
      </c>
    </row>
    <row r="33" spans="9:15" hidden="1"/>
    <row r="36" spans="9:15">
      <c r="I36" s="147"/>
      <c r="J36" s="147"/>
      <c r="K36" s="147"/>
      <c r="L36" s="147"/>
      <c r="M36" s="147"/>
      <c r="N36" s="147"/>
      <c r="O36" s="147"/>
    </row>
  </sheetData>
  <mergeCells count="11">
    <mergeCell ref="H12:H13"/>
    <mergeCell ref="L12:L13"/>
    <mergeCell ref="M12:M13"/>
    <mergeCell ref="N12:N13"/>
    <mergeCell ref="B5:N5"/>
    <mergeCell ref="M10:N10"/>
    <mergeCell ref="I11:J11"/>
    <mergeCell ref="D7:N7"/>
    <mergeCell ref="D8:N8"/>
    <mergeCell ref="B11:B13"/>
    <mergeCell ref="C12:C13"/>
  </mergeCells>
  <printOptions horizontalCentered="1"/>
  <pageMargins left="0.7" right="0.7" top="0.75" bottom="0.75" header="0.3" footer="0.3"/>
  <pageSetup paperSize="9" scale="86" orientation="landscape" r:id="rId1"/>
  <headerFooter alignWithMargins="0"/>
</worksheet>
</file>

<file path=xl/worksheets/sheet26.xml><?xml version="1.0" encoding="utf-8"?>
<worksheet xmlns="http://schemas.openxmlformats.org/spreadsheetml/2006/main" xmlns:r="http://schemas.openxmlformats.org/officeDocument/2006/relationships">
  <dimension ref="A1:N44"/>
  <sheetViews>
    <sheetView zoomScale="145" zoomScaleNormal="145" workbookViewId="0">
      <selection activeCell="A27" sqref="A27:K27"/>
    </sheetView>
  </sheetViews>
  <sheetFormatPr defaultRowHeight="12.75"/>
  <cols>
    <col min="1" max="1" width="5.83203125" customWidth="1"/>
    <col min="2" max="2" width="31.1640625" customWidth="1"/>
    <col min="3" max="4" width="23" hidden="1" customWidth="1"/>
    <col min="5" max="6" width="19.1640625" hidden="1" customWidth="1"/>
    <col min="7" max="10" width="19.1640625" customWidth="1"/>
    <col min="11" max="11" width="20.6640625" customWidth="1"/>
  </cols>
  <sheetData>
    <row r="1" spans="1:14" ht="15.75">
      <c r="A1" s="841"/>
      <c r="B1" s="842"/>
      <c r="C1" s="842"/>
      <c r="D1" s="842"/>
      <c r="E1" s="842"/>
      <c r="F1" s="842"/>
      <c r="G1" s="842"/>
      <c r="H1" s="842"/>
      <c r="I1" s="842"/>
      <c r="J1" s="842"/>
      <c r="K1" s="1153" t="s">
        <v>743</v>
      </c>
    </row>
    <row r="2" spans="1:14" ht="15.75">
      <c r="A2" s="1359"/>
      <c r="B2" s="1360"/>
      <c r="C2" s="1360"/>
      <c r="D2" s="1360"/>
      <c r="E2" s="1360"/>
      <c r="F2" s="1360"/>
      <c r="G2" s="1360"/>
      <c r="H2" s="1360"/>
      <c r="I2" s="1360"/>
      <c r="J2" s="1360"/>
      <c r="K2" s="1009" t="s">
        <v>752</v>
      </c>
    </row>
    <row r="3" spans="1:14" ht="17.25" customHeight="1">
      <c r="A3" s="1359"/>
      <c r="B3" s="1360"/>
      <c r="C3" s="1360"/>
      <c r="D3" s="1360"/>
      <c r="E3" s="1360"/>
      <c r="F3" s="1360"/>
      <c r="G3" s="1360"/>
      <c r="H3" s="1360"/>
      <c r="I3" s="1360"/>
      <c r="J3" s="1360"/>
      <c r="K3" s="1357"/>
    </row>
    <row r="4" spans="1:14" ht="23.25" customHeight="1">
      <c r="A4" s="2010" t="s">
        <v>520</v>
      </c>
      <c r="B4" s="2011"/>
      <c r="C4" s="2011"/>
      <c r="D4" s="2011"/>
      <c r="E4" s="2011"/>
      <c r="F4" s="2011"/>
      <c r="G4" s="2011"/>
      <c r="H4" s="2011"/>
      <c r="I4" s="2011"/>
      <c r="J4" s="2011"/>
      <c r="K4" s="2012"/>
    </row>
    <row r="5" spans="1:14" ht="17.25" customHeight="1">
      <c r="A5" s="1359"/>
      <c r="B5" s="1360"/>
      <c r="C5" s="1360"/>
      <c r="D5" s="1360"/>
      <c r="E5" s="1360"/>
      <c r="F5" s="1360"/>
      <c r="G5" s="1360"/>
      <c r="H5" s="1360"/>
      <c r="I5" s="1360"/>
      <c r="J5" s="1360"/>
      <c r="K5" s="1357"/>
    </row>
    <row r="6" spans="1:14" ht="17.25" customHeight="1">
      <c r="A6" s="1008" t="s">
        <v>445</v>
      </c>
      <c r="B6" s="1360"/>
      <c r="C6" s="2013" t="str">
        <f>'Form 3'!D5</f>
        <v>The Singareni Collieries Company Ltd</v>
      </c>
      <c r="D6" s="2013"/>
      <c r="E6" s="2013"/>
      <c r="F6" s="2013"/>
      <c r="G6" s="2013"/>
      <c r="H6" s="2013"/>
      <c r="I6" s="2013"/>
      <c r="J6" s="2013"/>
      <c r="K6" s="2014"/>
    </row>
    <row r="7" spans="1:14" ht="17.25" customHeight="1">
      <c r="A7" s="1008" t="s">
        <v>446</v>
      </c>
      <c r="B7" s="1360"/>
      <c r="C7" s="2013" t="str">
        <f>'Form 3'!D6</f>
        <v>Singareni Thermal Power Project</v>
      </c>
      <c r="D7" s="2013"/>
      <c r="E7" s="2013"/>
      <c r="F7" s="2013"/>
      <c r="G7" s="2013"/>
      <c r="H7" s="2013"/>
      <c r="I7" s="2013"/>
      <c r="J7" s="2013"/>
      <c r="K7" s="2014"/>
    </row>
    <row r="8" spans="1:14" ht="17.25" customHeight="1">
      <c r="A8" s="1359"/>
      <c r="B8" s="1360"/>
      <c r="C8" s="1360"/>
      <c r="D8" s="1360"/>
      <c r="E8" s="1360"/>
      <c r="F8" s="1360"/>
      <c r="G8" s="1360"/>
      <c r="H8" s="1360"/>
      <c r="I8" s="1360"/>
      <c r="J8" s="1360"/>
      <c r="K8" s="1357"/>
    </row>
    <row r="9" spans="1:14" ht="17.25" customHeight="1">
      <c r="A9" s="1359"/>
      <c r="B9" s="1360"/>
      <c r="C9" s="1360"/>
      <c r="D9" s="1360"/>
      <c r="E9" s="1360"/>
      <c r="F9" s="1360"/>
      <c r="G9" s="1360"/>
      <c r="H9" s="1360"/>
      <c r="I9" s="1360"/>
      <c r="J9" s="1360"/>
      <c r="K9" s="1374" t="s">
        <v>840</v>
      </c>
    </row>
    <row r="10" spans="1:14" ht="50.25" customHeight="1">
      <c r="A10" s="1154" t="s">
        <v>1409</v>
      </c>
      <c r="B10" s="1012" t="s">
        <v>376</v>
      </c>
      <c r="C10" s="1352" t="s">
        <v>399</v>
      </c>
      <c r="D10" s="1352" t="s">
        <v>400</v>
      </c>
      <c r="E10" s="1155" t="s">
        <v>401</v>
      </c>
      <c r="F10" s="1155" t="s">
        <v>402</v>
      </c>
      <c r="G10" s="141" t="s">
        <v>856</v>
      </c>
      <c r="H10" s="141" t="s">
        <v>857</v>
      </c>
      <c r="I10" s="141" t="s">
        <v>858</v>
      </c>
      <c r="J10" s="449" t="s">
        <v>859</v>
      </c>
      <c r="K10" s="452" t="s">
        <v>860</v>
      </c>
    </row>
    <row r="11" spans="1:14" ht="17.25" customHeight="1">
      <c r="A11" s="1156">
        <v>1</v>
      </c>
      <c r="B11" s="1157">
        <v>2</v>
      </c>
      <c r="C11" s="1158">
        <v>3</v>
      </c>
      <c r="D11" s="1158">
        <v>4</v>
      </c>
      <c r="E11" s="1158">
        <v>5</v>
      </c>
      <c r="F11" s="1159">
        <v>6</v>
      </c>
      <c r="G11" s="1158">
        <v>3</v>
      </c>
      <c r="H11" s="1159">
        <v>4</v>
      </c>
      <c r="I11" s="1157">
        <v>5</v>
      </c>
      <c r="J11" s="1160">
        <v>6</v>
      </c>
      <c r="K11" s="1161">
        <v>7</v>
      </c>
    </row>
    <row r="12" spans="1:14" ht="14.45" hidden="1" customHeight="1">
      <c r="A12" s="1162"/>
      <c r="B12" s="1163" t="s">
        <v>519</v>
      </c>
      <c r="C12" s="1164">
        <v>68</v>
      </c>
      <c r="D12" s="1164">
        <v>120</v>
      </c>
      <c r="E12" s="1164">
        <v>365</v>
      </c>
      <c r="F12" s="1165">
        <v>365</v>
      </c>
      <c r="G12" s="235"/>
      <c r="H12" s="235"/>
      <c r="I12" s="235"/>
      <c r="J12" s="235"/>
      <c r="K12" s="913"/>
      <c r="N12" t="s">
        <v>519</v>
      </c>
    </row>
    <row r="13" spans="1:14" ht="14.45" customHeight="1">
      <c r="A13" s="1166"/>
      <c r="B13" s="1167" t="s">
        <v>519</v>
      </c>
      <c r="C13" s="343">
        <v>68</v>
      </c>
      <c r="D13" s="343">
        <v>120</v>
      </c>
      <c r="E13" s="343">
        <v>365</v>
      </c>
      <c r="F13" s="343">
        <v>365</v>
      </c>
      <c r="G13" s="402">
        <v>366</v>
      </c>
      <c r="H13" s="402">
        <v>365</v>
      </c>
      <c r="I13" s="402">
        <v>365</v>
      </c>
      <c r="J13" s="402">
        <v>365</v>
      </c>
      <c r="K13" s="1133">
        <v>366</v>
      </c>
    </row>
    <row r="14" spans="1:14" ht="17.25" customHeight="1">
      <c r="A14" s="1168">
        <v>1</v>
      </c>
      <c r="B14" s="1169" t="s">
        <v>1481</v>
      </c>
      <c r="C14" s="875">
        <f>D14/2</f>
        <v>162.95459309999998</v>
      </c>
      <c r="D14" s="875">
        <f>1200*24/1000*365*0.9425*85%/6*'Form 1'!E25/10</f>
        <v>325.90918619999997</v>
      </c>
      <c r="E14" s="875">
        <f>1200*24/1000*E13*0.9425*85%/6*'Form 1'!F25/10</f>
        <v>325.90918619999997</v>
      </c>
      <c r="F14" s="875">
        <f>1200*24/1000*F13*0.9425*85%/6*'Form 1'!G25/10</f>
        <v>325.90918619999997</v>
      </c>
      <c r="G14" s="402">
        <f>1200*24/1000*G13*0.9425*85%/6*'Form 1'!H25/10</f>
        <v>402.23960712000002</v>
      </c>
      <c r="H14" s="402">
        <f>1200*24/1000*H13*0.9425*85%/6*'Form 1'!I25/10</f>
        <v>361.70024669999998</v>
      </c>
      <c r="I14" s="402">
        <f>1200*24/1000*I13*0.9425*85%/6*'Form 1'!J25/10</f>
        <v>382.33274040000003</v>
      </c>
      <c r="J14" s="402">
        <f>1200*24/1000*J13*0.9425*85%/6*'Form 1'!K25/10</f>
        <v>440.01950849999992</v>
      </c>
      <c r="K14" s="1133">
        <f>1200*24/1000*K13*0.9425*85%/6*'Form 1'!L25/10</f>
        <v>441.22504140000001</v>
      </c>
      <c r="N14" s="34"/>
    </row>
    <row r="15" spans="1:14" ht="33.6" customHeight="1">
      <c r="A15" s="1170">
        <v>2</v>
      </c>
      <c r="B15" s="1169" t="s">
        <v>1000</v>
      </c>
      <c r="C15" s="402">
        <f>D15/2</f>
        <v>0.70191341603567703</v>
      </c>
      <c r="D15" s="402">
        <f>E15</f>
        <v>1.4038268320713541</v>
      </c>
      <c r="E15" s="402">
        <f>'Energy Charges'!$D$37/(1-'Energy Charges'!$D$31)/100*E32/6*10/100</f>
        <v>1.4038268320713541</v>
      </c>
      <c r="F15" s="402">
        <f>'Energy Charges'!$D$37/(1-'Energy Charges'!$D$31)/100*F32/6*10/100</f>
        <v>1.4038268320713541</v>
      </c>
      <c r="G15" s="402">
        <f>1200*24/1000*G13*0.9425*85%/6*'Form 1'!H26/10</f>
        <v>1.4074164000000327</v>
      </c>
      <c r="H15" s="402">
        <f>1200*24/1000*H13*0.9425*85%/6*'Form 1'!I26/10</f>
        <v>1.5439281000000169</v>
      </c>
      <c r="I15" s="402">
        <f>1200*24/1000*I13*0.9425*85%/6*'Form 1'!J26/10</f>
        <v>0.84214259999996943</v>
      </c>
      <c r="J15" s="402">
        <f>1200*24/1000*J13*0.9425*85%/6*'Form 1'!K26/10</f>
        <v>4.4914272000000039</v>
      </c>
      <c r="K15" s="1133">
        <f>1200*24/1000*K13*0.9425*85%/6*'Form 1'!L26/10</f>
        <v>4.5037324800000045</v>
      </c>
    </row>
    <row r="16" spans="1:14" ht="17.25" customHeight="1">
      <c r="A16" s="1171">
        <v>3</v>
      </c>
      <c r="B16" s="1169" t="s">
        <v>862</v>
      </c>
      <c r="C16" s="402">
        <f t="shared" ref="C16:F16" si="0">C17*12*0.2</f>
        <v>19.527500000000003</v>
      </c>
      <c r="D16" s="402">
        <f t="shared" si="0"/>
        <v>39.048916666666663</v>
      </c>
      <c r="E16" s="402" t="e">
        <f t="shared" si="0"/>
        <v>#REF!</v>
      </c>
      <c r="F16" s="402" t="e">
        <f t="shared" si="0"/>
        <v>#REF!</v>
      </c>
      <c r="G16" s="402">
        <f>G17*12*0.2</f>
        <v>45.530779862399996</v>
      </c>
      <c r="H16" s="402">
        <f t="shared" ref="H16:K16" si="1">H17*12*0.2</f>
        <v>49.990144971999996</v>
      </c>
      <c r="I16" s="402">
        <f t="shared" si="1"/>
        <v>56.352995529399983</v>
      </c>
      <c r="J16" s="402">
        <f t="shared" si="1"/>
        <v>60.160000000000004</v>
      </c>
      <c r="K16" s="1133">
        <f t="shared" si="1"/>
        <v>63.168000000000006</v>
      </c>
    </row>
    <row r="17" spans="1:11" ht="17.25" customHeight="1">
      <c r="A17" s="1171">
        <v>4</v>
      </c>
      <c r="B17" s="1169" t="s">
        <v>861</v>
      </c>
      <c r="C17" s="592">
        <f>(18.19*365/68)/12</f>
        <v>8.1364583333333336</v>
      </c>
      <c r="D17" s="592">
        <f>(64.19*365/120)/12</f>
        <v>16.270381944444441</v>
      </c>
      <c r="E17" s="592" t="e">
        <f>#REF!/12</f>
        <v>#REF!</v>
      </c>
      <c r="F17" s="592" t="e">
        <f>#REF!/12</f>
        <v>#REF!</v>
      </c>
      <c r="G17" s="402">
        <f>'Form 16-O&amp;M (2)'!D86/12</f>
        <v>18.971158275999997</v>
      </c>
      <c r="H17" s="402">
        <f>'Form 16-O&amp;M (2)'!E86/12</f>
        <v>20.829227071666665</v>
      </c>
      <c r="I17" s="402">
        <f>'Form 16-O&amp;M (2)'!F86/12</f>
        <v>23.480414803916659</v>
      </c>
      <c r="J17" s="402">
        <f>'Form 16-O&amp;M (2)'!G86/12</f>
        <v>25.066666666666666</v>
      </c>
      <c r="K17" s="1133">
        <f>'Form 16-O&amp;M (2)'!H86/12</f>
        <v>26.320000000000004</v>
      </c>
    </row>
    <row r="18" spans="1:11" ht="17.25" customHeight="1">
      <c r="A18" s="1171">
        <v>5</v>
      </c>
      <c r="B18" s="1169" t="s">
        <v>1293</v>
      </c>
      <c r="C18" s="402" t="e">
        <f>C14+C15+'Form 1'!D21/'Form 1'!#REF!*(365/6)</f>
        <v>#REF!</v>
      </c>
      <c r="D18" s="402" t="e">
        <f>D14+D15+'Form 1'!E21/'Form 1'!#REF!*(365/6)</f>
        <v>#REF!</v>
      </c>
      <c r="E18" s="402">
        <f>E14+E15+'Form 1'!F21/6</f>
        <v>526.30773126318695</v>
      </c>
      <c r="F18" s="402">
        <f>F14+F15+'Form 1'!G21/6</f>
        <v>533.18888187930622</v>
      </c>
      <c r="G18" s="402">
        <f>G14+G15+'Form 1'!H21/6</f>
        <v>667.24130154108025</v>
      </c>
      <c r="H18" s="402">
        <f>H14+H15+'Form 1'!I21/6</f>
        <v>636.69290392057576</v>
      </c>
      <c r="I18" s="402">
        <f>I14+I15+'Form 1'!J21/6</f>
        <v>656.06234158631082</v>
      </c>
      <c r="J18" s="402">
        <f>J14+J15+'Form 1'!K21/6</f>
        <v>717.47522462638904</v>
      </c>
      <c r="K18" s="1133">
        <f>K14+K15+'Form 1'!L21/6</f>
        <v>715.59838809718269</v>
      </c>
    </row>
    <row r="19" spans="1:11" ht="30.75" customHeight="1">
      <c r="A19" s="1171">
        <v>6</v>
      </c>
      <c r="B19" s="1172" t="s">
        <v>1511</v>
      </c>
      <c r="C19" s="875" t="e">
        <f t="shared" ref="C19:F19" si="2">SUM(C14:C18)</f>
        <v>#REF!</v>
      </c>
      <c r="D19" s="875" t="e">
        <f t="shared" si="2"/>
        <v>#REF!</v>
      </c>
      <c r="E19" s="875" t="e">
        <f t="shared" si="2"/>
        <v>#REF!</v>
      </c>
      <c r="F19" s="875" t="e">
        <f t="shared" si="2"/>
        <v>#REF!</v>
      </c>
      <c r="G19" s="402">
        <f>SUM(G14:G18)</f>
        <v>1135.3902631994802</v>
      </c>
      <c r="H19" s="402">
        <f t="shared" ref="H19:K19" si="3">SUM(H14:H18)</f>
        <v>1070.7564507642423</v>
      </c>
      <c r="I19" s="402">
        <f t="shared" si="3"/>
        <v>1119.0706349196275</v>
      </c>
      <c r="J19" s="402">
        <f t="shared" si="3"/>
        <v>1247.2128269930556</v>
      </c>
      <c r="K19" s="1133">
        <f t="shared" si="3"/>
        <v>1250.8151619771827</v>
      </c>
    </row>
    <row r="20" spans="1:11" ht="17.25" customHeight="1">
      <c r="A20" s="1171"/>
      <c r="B20" s="1169" t="s">
        <v>923</v>
      </c>
      <c r="C20" s="235"/>
      <c r="D20" s="235"/>
      <c r="E20" s="235"/>
      <c r="F20" s="235"/>
      <c r="G20" s="402"/>
      <c r="H20" s="402"/>
      <c r="I20" s="402"/>
      <c r="J20" s="402"/>
      <c r="K20" s="1133"/>
    </row>
    <row r="21" spans="1:11" ht="17.25" customHeight="1">
      <c r="A21" s="1171">
        <v>7</v>
      </c>
      <c r="B21" s="1169" t="s">
        <v>925</v>
      </c>
      <c r="C21" s="875"/>
      <c r="D21" s="875"/>
      <c r="E21" s="875"/>
      <c r="F21" s="875"/>
      <c r="G21" s="402">
        <f>G14/2</f>
        <v>201.11980356000001</v>
      </c>
      <c r="H21" s="402">
        <f t="shared" ref="H21:K21" si="4">H14/2</f>
        <v>180.85012334999999</v>
      </c>
      <c r="I21" s="402">
        <f t="shared" si="4"/>
        <v>191.16637020000002</v>
      </c>
      <c r="J21" s="402">
        <f t="shared" si="4"/>
        <v>220.00975424999996</v>
      </c>
      <c r="K21" s="1133">
        <f t="shared" si="4"/>
        <v>220.6125207</v>
      </c>
    </row>
    <row r="22" spans="1:11" ht="17.25" customHeight="1">
      <c r="A22" s="1171">
        <v>8</v>
      </c>
      <c r="B22" s="1169" t="s">
        <v>924</v>
      </c>
      <c r="C22" s="1173"/>
      <c r="D22" s="1173"/>
      <c r="E22" s="1173"/>
      <c r="F22" s="1173"/>
      <c r="G22" s="402">
        <f>G15/2</f>
        <v>0.70370820000001633</v>
      </c>
      <c r="H22" s="402">
        <f t="shared" ref="H22:K22" si="5">H15/2</f>
        <v>0.77196405000000845</v>
      </c>
      <c r="I22" s="402">
        <f t="shared" si="5"/>
        <v>0.42107129999998472</v>
      </c>
      <c r="J22" s="402">
        <f t="shared" si="5"/>
        <v>2.245713600000002</v>
      </c>
      <c r="K22" s="1133">
        <f t="shared" si="5"/>
        <v>2.2518662400000022</v>
      </c>
    </row>
    <row r="23" spans="1:11" ht="17.25" customHeight="1">
      <c r="A23" s="1171">
        <v>9</v>
      </c>
      <c r="B23" s="1172" t="s">
        <v>1083</v>
      </c>
      <c r="C23" s="402" t="e">
        <f>SUM(C14:C18)</f>
        <v>#REF!</v>
      </c>
      <c r="D23" s="402" t="e">
        <f>SUM(D14:D18)</f>
        <v>#REF!</v>
      </c>
      <c r="E23" s="402" t="e">
        <f>SUM(E14:E18)</f>
        <v>#REF!</v>
      </c>
      <c r="F23" s="875" t="e">
        <f>F19-F21-F22</f>
        <v>#REF!</v>
      </c>
      <c r="G23" s="402">
        <f>G19-G21-G22</f>
        <v>933.56675143948007</v>
      </c>
      <c r="H23" s="402">
        <f t="shared" ref="H23:K23" si="6">H19-H21-H22</f>
        <v>889.13436336424229</v>
      </c>
      <c r="I23" s="402">
        <f t="shared" si="6"/>
        <v>927.48319341962747</v>
      </c>
      <c r="J23" s="402">
        <f t="shared" si="6"/>
        <v>1024.9573591430556</v>
      </c>
      <c r="K23" s="1133">
        <f t="shared" si="6"/>
        <v>1027.9507750371827</v>
      </c>
    </row>
    <row r="24" spans="1:11" ht="17.25" customHeight="1">
      <c r="A24" s="1171">
        <v>10</v>
      </c>
      <c r="B24" s="1172" t="s">
        <v>863</v>
      </c>
      <c r="C24" s="593">
        <v>0.10489999999999999</v>
      </c>
      <c r="D24" s="593">
        <v>0.1042</v>
      </c>
      <c r="E24" s="593">
        <v>0.1043</v>
      </c>
      <c r="F24" s="593">
        <v>0.10460999999999999</v>
      </c>
      <c r="G24" s="402">
        <f>'Form 3'!D28</f>
        <v>9.6594262295081972</v>
      </c>
      <c r="H24" s="402">
        <f>'Form 3'!E28</f>
        <v>8.5315068493150683</v>
      </c>
      <c r="I24" s="402">
        <f>'Form 3'!F28</f>
        <v>8.5</v>
      </c>
      <c r="J24" s="402">
        <f>'Form 3'!G28</f>
        <v>8.9660714285714285</v>
      </c>
      <c r="K24" s="1133">
        <f>'Form 3'!H28</f>
        <v>9.1999999999999993</v>
      </c>
    </row>
    <row r="25" spans="1:11" ht="27.75" customHeight="1">
      <c r="A25" s="1171">
        <v>11</v>
      </c>
      <c r="B25" s="1172" t="s">
        <v>411</v>
      </c>
      <c r="C25" s="875" t="e">
        <f>C23*C24*68/365</f>
        <v>#REF!</v>
      </c>
      <c r="D25" s="875" t="e">
        <f>D23*D24*120/365</f>
        <v>#REF!</v>
      </c>
      <c r="E25" s="875" t="e">
        <f t="shared" ref="E25:F25" si="7">E23*E24</f>
        <v>#REF!</v>
      </c>
      <c r="F25" s="875" t="e">
        <f t="shared" si="7"/>
        <v>#REF!</v>
      </c>
      <c r="G25" s="402">
        <f>(((2*G14+2*G15+G16+G17-G21-G22)+('Form 1'!H15+'Form 1'!H16+'Form 1'!H17+'Form 1'!H19-'Form 1'!H20)/6)*G24%)/((100-(G24/6))/100)</f>
        <v>90.17719165851274</v>
      </c>
      <c r="H25" s="402">
        <f>(((2*H14+2*H15+H16+H17-H21-H22)+('Form 1'!I15+'Form 1'!I16+'Form 1'!I17+'Form 1'!I19-'Form 1'!I20)/6)*H24%)/((100-(H24/6))/100)</f>
        <v>75.856559110034269</v>
      </c>
      <c r="I25" s="402">
        <f>(((2*I14+2*I15+I16+I17-I21-I22)+('Form 1'!J15+'Form 1'!J16+'Form 1'!J17+'Form 1'!J19-'Form 1'!J20)/6)*I24%)/((100-(I24/6))/100)</f>
        <v>78.836071440668334</v>
      </c>
      <c r="J25" s="402">
        <f>(((2*J14+2*J15+J16+J17-J21-J22)+('Form 1'!K15+'Form 1'!K16+'Form 1'!K17+'Form 1'!K19-'Form 1'!K20)/6)*J24%)/((100-(J24/6))/100)</f>
        <v>91.898408933165754</v>
      </c>
      <c r="K25" s="1133">
        <f>(((2*K14+2*K15+K16+K17-K21-K22)+('Form 1'!L15+'Form 1'!L16+'Form 1'!L17+'Form 1'!L19-'Form 1'!L20)/6)*K24%)/((100-(K24/6))/100)</f>
        <v>94.571471303420807</v>
      </c>
    </row>
    <row r="26" spans="1:11" ht="25.5" customHeight="1">
      <c r="A26" s="1359"/>
      <c r="B26" s="1360"/>
      <c r="C26" s="1360"/>
      <c r="D26" s="1360"/>
      <c r="E26" s="1360"/>
      <c r="F26" s="1360"/>
      <c r="G26" s="1360"/>
      <c r="H26" s="1360"/>
      <c r="I26" s="1360"/>
      <c r="J26" s="1360"/>
      <c r="K26" s="1357"/>
    </row>
    <row r="27" spans="1:11" ht="97.5" customHeight="1">
      <c r="A27" s="2015" t="s">
        <v>1503</v>
      </c>
      <c r="B27" s="2016"/>
      <c r="C27" s="2016"/>
      <c r="D27" s="2016"/>
      <c r="E27" s="2016"/>
      <c r="F27" s="2016"/>
      <c r="G27" s="2016"/>
      <c r="H27" s="2016"/>
      <c r="I27" s="2016"/>
      <c r="J27" s="2016"/>
      <c r="K27" s="2017"/>
    </row>
    <row r="28" spans="1:11" ht="15.75">
      <c r="A28" s="1359"/>
      <c r="B28" s="1360"/>
      <c r="C28" s="1360"/>
      <c r="D28" s="1360"/>
      <c r="E28" s="1360"/>
      <c r="F28" s="1360"/>
      <c r="G28" s="1360"/>
      <c r="H28" s="1360"/>
      <c r="I28" s="1360"/>
      <c r="J28" s="1360"/>
      <c r="K28" s="1357"/>
    </row>
    <row r="29" spans="1:11" ht="15.75">
      <c r="A29" s="1359"/>
      <c r="B29" s="1360"/>
      <c r="C29" s="1360"/>
      <c r="D29" s="1360"/>
      <c r="E29" s="1360"/>
      <c r="F29" s="1360"/>
      <c r="G29" s="1360"/>
      <c r="H29" s="1360"/>
      <c r="I29" s="1360"/>
      <c r="J29" s="1360"/>
      <c r="K29" s="1357"/>
    </row>
    <row r="30" spans="1:11" ht="16.5" thickBot="1">
      <c r="A30" s="882"/>
      <c r="B30" s="883"/>
      <c r="C30" s="883"/>
      <c r="D30" s="883"/>
      <c r="E30" s="883"/>
      <c r="F30" s="883"/>
      <c r="G30" s="883"/>
      <c r="H30" s="883"/>
      <c r="I30" s="883"/>
      <c r="J30" s="1174" t="s">
        <v>700</v>
      </c>
      <c r="K30" s="884"/>
    </row>
    <row r="31" spans="1:11" hidden="1"/>
    <row r="32" spans="1:11" hidden="1">
      <c r="C32" s="384">
        <f>(8421/2)*Form13B!D13/365</f>
        <v>784.42191780821918</v>
      </c>
      <c r="D32" s="384">
        <f>(8421)*Form13B!E13/365</f>
        <v>2768.5479452054797</v>
      </c>
      <c r="E32" s="384">
        <f>8421</f>
        <v>8421</v>
      </c>
      <c r="F32" s="384">
        <f>8421</f>
        <v>8421</v>
      </c>
    </row>
    <row r="33" spans="6:11" hidden="1"/>
    <row r="34" spans="6:11" hidden="1">
      <c r="F34" s="149" t="s">
        <v>1111</v>
      </c>
      <c r="G34" s="690">
        <f>2*G14+2*G15+G16+G17-G21-G22</f>
        <v>669.9724734184</v>
      </c>
      <c r="H34" s="690">
        <f t="shared" ref="H34:K34" si="8">2*H14+2*H15+H16+H17-H21-H22</f>
        <v>615.68563424366664</v>
      </c>
      <c r="I34" s="690">
        <f t="shared" si="8"/>
        <v>654.59573483331678</v>
      </c>
      <c r="J34" s="690">
        <f t="shared" si="8"/>
        <v>751.99307021666641</v>
      </c>
      <c r="K34" s="690">
        <f t="shared" si="8"/>
        <v>758.08116082000004</v>
      </c>
    </row>
    <row r="35" spans="6:11" hidden="1">
      <c r="F35" s="149" t="s">
        <v>984</v>
      </c>
      <c r="G35" s="690">
        <f>G24</f>
        <v>9.6594262295081972</v>
      </c>
      <c r="H35" s="690">
        <f t="shared" ref="H35:K35" si="9">H24</f>
        <v>8.5315068493150683</v>
      </c>
      <c r="I35" s="690">
        <f t="shared" si="9"/>
        <v>8.5</v>
      </c>
      <c r="J35" s="690">
        <f t="shared" si="9"/>
        <v>8.9660714285714285</v>
      </c>
      <c r="K35" s="690">
        <f t="shared" si="9"/>
        <v>9.1999999999999993</v>
      </c>
    </row>
    <row r="36" spans="6:11" hidden="1">
      <c r="F36" s="149" t="s">
        <v>1112</v>
      </c>
      <c r="G36" s="690" t="e">
        <f>'Form 1'!H15+'Form 1'!H16+'Form 1'!H17+'Form 1'!H19+'Form 1'!#REF!-'Form 1'!H20</f>
        <v>#REF!</v>
      </c>
      <c r="H36" s="690" t="e">
        <f>'Form 1'!I15+'Form 1'!I16+'Form 1'!I17+'Form 1'!I19+'Form 1'!#REF!-'Form 1'!I20</f>
        <v>#REF!</v>
      </c>
      <c r="I36" s="690" t="e">
        <f>'Form 1'!J15+'Form 1'!J16+'Form 1'!J17+'Form 1'!J19+'Form 1'!#REF!-'Form 1'!J20</f>
        <v>#REF!</v>
      </c>
      <c r="J36" s="690" t="e">
        <f>'Form 1'!K15+'Form 1'!K16+'Form 1'!K17+'Form 1'!K19+'Form 1'!#REF!-'Form 1'!K20</f>
        <v>#REF!</v>
      </c>
      <c r="K36" s="690" t="e">
        <f>'Form 1'!L15+'Form 1'!L16+'Form 1'!L17+'Form 1'!L19+'Form 1'!#REF!-'Form 1'!L20</f>
        <v>#REF!</v>
      </c>
    </row>
    <row r="37" spans="6:11" hidden="1">
      <c r="G37" s="690">
        <f>(100-(G35/6))/100</f>
        <v>0.98390095628415297</v>
      </c>
      <c r="H37" s="690">
        <f t="shared" ref="H37:K37" si="10">(100-(H35/6))/100</f>
        <v>0.98578082191780825</v>
      </c>
      <c r="I37" s="690">
        <f t="shared" si="10"/>
        <v>0.98583333333333334</v>
      </c>
      <c r="J37" s="690">
        <f t="shared" si="10"/>
        <v>0.9850565476190476</v>
      </c>
      <c r="K37" s="690">
        <f t="shared" si="10"/>
        <v>0.98466666666666669</v>
      </c>
    </row>
    <row r="38" spans="6:11" hidden="1">
      <c r="G38" s="690" t="e">
        <f>(G34+G36/6)*G35%</f>
        <v>#REF!</v>
      </c>
      <c r="H38" s="690" t="e">
        <f t="shared" ref="H38:K38" si="11">(H34+H36/6)*H35%</f>
        <v>#REF!</v>
      </c>
      <c r="I38" s="690" t="e">
        <f t="shared" si="11"/>
        <v>#REF!</v>
      </c>
      <c r="J38" s="690" t="e">
        <f t="shared" si="11"/>
        <v>#REF!</v>
      </c>
      <c r="K38" s="690" t="e">
        <f t="shared" si="11"/>
        <v>#REF!</v>
      </c>
    </row>
    <row r="39" spans="6:11" hidden="1">
      <c r="G39" s="690" t="e">
        <f>G38/G37</f>
        <v>#REF!</v>
      </c>
      <c r="H39" s="690" t="e">
        <f t="shared" ref="H39:K39" si="12">H38/H37</f>
        <v>#REF!</v>
      </c>
      <c r="I39" s="690" t="e">
        <f t="shared" si="12"/>
        <v>#REF!</v>
      </c>
      <c r="J39" s="690" t="e">
        <f t="shared" si="12"/>
        <v>#REF!</v>
      </c>
      <c r="K39" s="690" t="e">
        <f t="shared" si="12"/>
        <v>#REF!</v>
      </c>
    </row>
    <row r="40" spans="6:11" hidden="1"/>
    <row r="41" spans="6:11" hidden="1"/>
    <row r="42" spans="6:11" hidden="1"/>
    <row r="43" spans="6:11" hidden="1"/>
    <row r="44" spans="6:11" hidden="1"/>
  </sheetData>
  <mergeCells count="4">
    <mergeCell ref="A4:K4"/>
    <mergeCell ref="C6:K6"/>
    <mergeCell ref="C7:K7"/>
    <mergeCell ref="A27:K27"/>
  </mergeCells>
  <printOptions horizontalCentered="1" verticalCentered="1"/>
  <pageMargins left="0.70866141732283505" right="0.70866141732283505" top="0.74803149606299202" bottom="0.74803149606299202" header="0.31496062992126" footer="0.31496062992126"/>
  <pageSetup paperSize="9" scale="70" orientation="portrait" r:id="rId1"/>
  <colBreaks count="1" manualBreakCount="1">
    <brk id="11" max="1048575" man="1"/>
  </colBreaks>
  <legacyDrawing r:id="rId2"/>
</worksheet>
</file>

<file path=xl/worksheets/sheet27.xml><?xml version="1.0" encoding="utf-8"?>
<worksheet xmlns="http://schemas.openxmlformats.org/spreadsheetml/2006/main" xmlns:r="http://schemas.openxmlformats.org/officeDocument/2006/relationships">
  <sheetPr>
    <pageSetUpPr fitToPage="1"/>
  </sheetPr>
  <dimension ref="A1:Q55"/>
  <sheetViews>
    <sheetView zoomScale="85" zoomScaleNormal="85" workbookViewId="0">
      <selection sqref="A1:E1"/>
    </sheetView>
  </sheetViews>
  <sheetFormatPr defaultColWidth="9.33203125" defaultRowHeight="18.75"/>
  <cols>
    <col min="1" max="1" width="7.83203125" style="714" bestFit="1" customWidth="1"/>
    <col min="2" max="2" width="83.6640625" style="716" customWidth="1"/>
    <col min="3" max="3" width="15" style="714" bestFit="1" customWidth="1"/>
    <col min="4" max="4" width="19.1640625" style="714" bestFit="1" customWidth="1"/>
    <col min="5" max="5" width="12.33203125" style="714" bestFit="1" customWidth="1"/>
    <col min="6" max="6" width="19.1640625" style="714" bestFit="1" customWidth="1"/>
    <col min="7" max="7" width="12.33203125" style="714" bestFit="1" customWidth="1"/>
    <col min="8" max="8" width="19.1640625" style="714" bestFit="1" customWidth="1"/>
    <col min="9" max="9" width="12.33203125" style="714" bestFit="1" customWidth="1"/>
    <col min="10" max="10" width="19.1640625" style="714" bestFit="1" customWidth="1"/>
    <col min="11" max="11" width="12.33203125" style="714" bestFit="1" customWidth="1"/>
    <col min="12" max="12" width="19.1640625" style="714" bestFit="1" customWidth="1"/>
    <col min="13" max="13" width="12.33203125" style="714" bestFit="1" customWidth="1"/>
    <col min="14" max="14" width="19.1640625" style="714" bestFit="1" customWidth="1"/>
    <col min="15" max="15" width="12.33203125" style="714" bestFit="1" customWidth="1"/>
    <col min="16" max="16" width="19.1640625" style="714" bestFit="1" customWidth="1"/>
    <col min="17" max="17" width="12.33203125" style="714" bestFit="1" customWidth="1"/>
    <col min="18" max="16384" width="9.33203125" style="714"/>
  </cols>
  <sheetData>
    <row r="1" spans="1:17" s="712" customFormat="1" ht="30" customHeight="1">
      <c r="A1" s="2028" t="s">
        <v>1113</v>
      </c>
      <c r="B1" s="2029"/>
      <c r="C1" s="2029"/>
      <c r="D1" s="2029"/>
      <c r="E1" s="2029"/>
      <c r="F1" s="1283"/>
      <c r="G1" s="1283"/>
      <c r="H1" s="1283"/>
      <c r="I1" s="1283"/>
      <c r="J1" s="1283"/>
      <c r="K1" s="1283"/>
      <c r="L1" s="1283"/>
      <c r="M1" s="1283"/>
      <c r="N1" s="1283"/>
      <c r="O1" s="1283"/>
      <c r="P1" s="1284" t="s">
        <v>743</v>
      </c>
      <c r="Q1" s="1285"/>
    </row>
    <row r="2" spans="1:17" s="712" customFormat="1">
      <c r="A2" s="1286"/>
      <c r="B2" s="1261"/>
      <c r="C2" s="1260"/>
      <c r="D2" s="1260"/>
      <c r="E2" s="1260"/>
      <c r="F2" s="1259"/>
      <c r="G2" s="1259"/>
      <c r="H2" s="1259"/>
      <c r="I2" s="1259"/>
      <c r="J2" s="1259"/>
      <c r="K2" s="1259"/>
      <c r="L2" s="1259"/>
      <c r="M2" s="1259"/>
      <c r="N2" s="1259"/>
      <c r="O2" s="1259"/>
      <c r="P2" s="1083" t="s">
        <v>800</v>
      </c>
      <c r="Q2" s="1287"/>
    </row>
    <row r="3" spans="1:17" s="712" customFormat="1">
      <c r="A3" s="2030" t="s">
        <v>1114</v>
      </c>
      <c r="B3" s="2031"/>
      <c r="C3" s="2031"/>
      <c r="D3" s="2031"/>
      <c r="E3" s="2031"/>
      <c r="F3" s="1259"/>
      <c r="G3" s="1259"/>
      <c r="H3" s="1259"/>
      <c r="I3" s="1259"/>
      <c r="J3" s="1259"/>
      <c r="K3" s="1259"/>
      <c r="L3" s="1259"/>
      <c r="M3" s="1259"/>
      <c r="N3" s="1259"/>
      <c r="O3" s="1259"/>
      <c r="P3" s="1259"/>
      <c r="Q3" s="1287"/>
    </row>
    <row r="4" spans="1:17" s="712" customFormat="1">
      <c r="A4" s="2032" t="s">
        <v>1115</v>
      </c>
      <c r="B4" s="2033"/>
      <c r="C4" s="2033"/>
      <c r="D4" s="2033"/>
      <c r="E4" s="2033"/>
      <c r="F4" s="1259"/>
      <c r="G4" s="1259"/>
      <c r="H4" s="1259"/>
      <c r="I4" s="1259"/>
      <c r="J4" s="1259"/>
      <c r="K4" s="1259"/>
      <c r="L4" s="1259"/>
      <c r="M4" s="1259"/>
      <c r="N4" s="1259"/>
      <c r="O4" s="1259"/>
      <c r="P4" s="1259"/>
      <c r="Q4" s="1287"/>
    </row>
    <row r="5" spans="1:17" s="713" customFormat="1">
      <c r="A5" s="2034" t="s">
        <v>1116</v>
      </c>
      <c r="B5" s="2035" t="s">
        <v>298</v>
      </c>
      <c r="C5" s="2036" t="s">
        <v>350</v>
      </c>
      <c r="D5" s="2020">
        <v>44562</v>
      </c>
      <c r="E5" s="2020"/>
      <c r="F5" s="2020">
        <v>44593</v>
      </c>
      <c r="G5" s="2020"/>
      <c r="H5" s="2020">
        <v>44621</v>
      </c>
      <c r="I5" s="2020"/>
      <c r="J5" s="2020">
        <v>44652</v>
      </c>
      <c r="K5" s="2020"/>
      <c r="L5" s="2020">
        <v>44682</v>
      </c>
      <c r="M5" s="2020"/>
      <c r="N5" s="2020">
        <v>44713</v>
      </c>
      <c r="O5" s="2020"/>
      <c r="P5" s="2020">
        <v>44743</v>
      </c>
      <c r="Q5" s="2021"/>
    </row>
    <row r="6" spans="1:17" s="713" customFormat="1">
      <c r="A6" s="2034"/>
      <c r="B6" s="2035"/>
      <c r="C6" s="2036"/>
      <c r="D6" s="1262" t="s">
        <v>306</v>
      </c>
      <c r="E6" s="1262" t="s">
        <v>307</v>
      </c>
      <c r="F6" s="1262" t="s">
        <v>306</v>
      </c>
      <c r="G6" s="1262" t="s">
        <v>307</v>
      </c>
      <c r="H6" s="1262" t="s">
        <v>306</v>
      </c>
      <c r="I6" s="1262" t="s">
        <v>307</v>
      </c>
      <c r="J6" s="1262" t="s">
        <v>306</v>
      </c>
      <c r="K6" s="1262" t="s">
        <v>307</v>
      </c>
      <c r="L6" s="1262" t="s">
        <v>306</v>
      </c>
      <c r="M6" s="1262" t="s">
        <v>307</v>
      </c>
      <c r="N6" s="1262" t="s">
        <v>306</v>
      </c>
      <c r="O6" s="1262" t="s">
        <v>307</v>
      </c>
      <c r="P6" s="1262" t="s">
        <v>306</v>
      </c>
      <c r="Q6" s="1288" t="s">
        <v>307</v>
      </c>
    </row>
    <row r="7" spans="1:17" ht="9" customHeight="1">
      <c r="A7" s="2037"/>
      <c r="B7" s="2038"/>
      <c r="C7" s="2038"/>
      <c r="D7" s="1263"/>
      <c r="E7" s="1263"/>
      <c r="F7" s="1263"/>
      <c r="G7" s="1263"/>
      <c r="H7" s="1263"/>
      <c r="I7" s="1263"/>
      <c r="J7" s="1263"/>
      <c r="K7" s="1263"/>
      <c r="L7" s="1263"/>
      <c r="M7" s="1263"/>
      <c r="N7" s="1263"/>
      <c r="O7" s="1263"/>
      <c r="P7" s="1263"/>
      <c r="Q7" s="1289"/>
    </row>
    <row r="8" spans="1:17" s="713" customFormat="1">
      <c r="A8" s="1290" t="s">
        <v>1117</v>
      </c>
      <c r="B8" s="1265" t="s">
        <v>1118</v>
      </c>
      <c r="C8" s="1264"/>
      <c r="D8" s="1264"/>
      <c r="E8" s="1264"/>
      <c r="F8" s="1264"/>
      <c r="G8" s="1264"/>
      <c r="H8" s="1264"/>
      <c r="I8" s="1264"/>
      <c r="J8" s="1264"/>
      <c r="K8" s="1264"/>
      <c r="L8" s="1264"/>
      <c r="M8" s="1264"/>
      <c r="N8" s="1264"/>
      <c r="O8" s="1264"/>
      <c r="P8" s="1264"/>
      <c r="Q8" s="1291"/>
    </row>
    <row r="9" spans="1:17" s="715" customFormat="1">
      <c r="A9" s="1292">
        <v>1</v>
      </c>
      <c r="B9" s="1267" t="s">
        <v>1119</v>
      </c>
      <c r="C9" s="1266" t="s">
        <v>999</v>
      </c>
      <c r="D9" s="1268">
        <v>154181.1599999998</v>
      </c>
      <c r="E9" s="1269"/>
      <c r="F9" s="1268">
        <v>135514.07999999996</v>
      </c>
      <c r="G9" s="1269"/>
      <c r="H9" s="1268">
        <v>125170.87000000017</v>
      </c>
      <c r="I9" s="1269"/>
      <c r="J9" s="1268">
        <f>(H9+H17-H52)</f>
        <v>112687.91999999987</v>
      </c>
      <c r="K9" s="1269"/>
      <c r="L9" s="1268">
        <f>(J9+J17-J52)</f>
        <v>103269.22999999957</v>
      </c>
      <c r="M9" s="1269"/>
      <c r="N9" s="1268">
        <f>(L9+L17-L52)</f>
        <v>98887.349999999453</v>
      </c>
      <c r="O9" s="1269"/>
      <c r="P9" s="1268">
        <f>(N9+N17-N52)</f>
        <v>95382.569999999425</v>
      </c>
      <c r="Q9" s="1293"/>
    </row>
    <row r="10" spans="1:17" s="715" customFormat="1">
      <c r="A10" s="1292">
        <v>2</v>
      </c>
      <c r="B10" s="1267" t="s">
        <v>1120</v>
      </c>
      <c r="C10" s="1266" t="s">
        <v>320</v>
      </c>
      <c r="D10" s="1270">
        <v>697685664.44035029</v>
      </c>
      <c r="E10" s="1271"/>
      <c r="F10" s="1270">
        <v>621937392.00075293</v>
      </c>
      <c r="G10" s="1271"/>
      <c r="H10" s="1270">
        <v>559813091.10470617</v>
      </c>
      <c r="I10" s="1271"/>
      <c r="J10" s="1270">
        <f>J9*H36</f>
        <v>462500813.56042075</v>
      </c>
      <c r="K10" s="1271"/>
      <c r="L10" s="1270">
        <f>L9*J36</f>
        <v>513554004.67142773</v>
      </c>
      <c r="M10" s="1271"/>
      <c r="N10" s="1270">
        <f>N9*L36</f>
        <v>537802237.62608659</v>
      </c>
      <c r="O10" s="1271"/>
      <c r="P10" s="1270">
        <f>P9*N36</f>
        <v>528398013.73524374</v>
      </c>
      <c r="Q10" s="1294"/>
    </row>
    <row r="11" spans="1:17" ht="9" customHeight="1">
      <c r="A11" s="2039"/>
      <c r="B11" s="2040"/>
      <c r="C11" s="2040"/>
      <c r="D11" s="1272"/>
      <c r="E11" s="1272"/>
      <c r="F11" s="1272"/>
      <c r="G11" s="1272"/>
      <c r="H11" s="1272"/>
      <c r="I11" s="1272"/>
      <c r="J11" s="1272"/>
      <c r="K11" s="1272"/>
      <c r="L11" s="1272"/>
      <c r="M11" s="1272"/>
      <c r="N11" s="1272"/>
      <c r="O11" s="1272"/>
      <c r="P11" s="1272"/>
      <c r="Q11" s="1295"/>
    </row>
    <row r="12" spans="1:17">
      <c r="A12" s="1290" t="s">
        <v>1121</v>
      </c>
      <c r="B12" s="1265" t="s">
        <v>1122</v>
      </c>
      <c r="C12" s="1263"/>
      <c r="D12" s="1263"/>
      <c r="E12" s="1263"/>
      <c r="F12" s="1263"/>
      <c r="G12" s="1263"/>
      <c r="H12" s="1263"/>
      <c r="I12" s="1263"/>
      <c r="J12" s="1263"/>
      <c r="K12" s="1263"/>
      <c r="L12" s="1263"/>
      <c r="M12" s="1263"/>
      <c r="N12" s="1263"/>
      <c r="O12" s="1263"/>
      <c r="P12" s="1263"/>
      <c r="Q12" s="1289"/>
    </row>
    <row r="13" spans="1:17">
      <c r="A13" s="1296">
        <v>3</v>
      </c>
      <c r="B13" s="1273" t="s">
        <v>1123</v>
      </c>
      <c r="C13" s="1263" t="s">
        <v>999</v>
      </c>
      <c r="D13" s="1268">
        <v>457964.92000000016</v>
      </c>
      <c r="E13" s="1263"/>
      <c r="F13" s="1268">
        <v>405872.79000000015</v>
      </c>
      <c r="G13" s="1263"/>
      <c r="H13" s="1268">
        <v>498671.04999999976</v>
      </c>
      <c r="I13" s="1263"/>
      <c r="J13" s="1268">
        <v>465057.30999999971</v>
      </c>
      <c r="K13" s="1263"/>
      <c r="L13" s="1274">
        <v>381252.11999999988</v>
      </c>
      <c r="M13" s="1263"/>
      <c r="N13" s="1274">
        <v>415855.22</v>
      </c>
      <c r="O13" s="1263"/>
      <c r="P13" s="1274">
        <v>478723.27000000025</v>
      </c>
      <c r="Q13" s="1289"/>
    </row>
    <row r="14" spans="1:17">
      <c r="A14" s="1296">
        <v>4</v>
      </c>
      <c r="B14" s="1273" t="s">
        <v>1124</v>
      </c>
      <c r="C14" s="1263" t="s">
        <v>999</v>
      </c>
      <c r="D14" s="1274">
        <v>0</v>
      </c>
      <c r="E14" s="1263"/>
      <c r="F14" s="1274">
        <v>0</v>
      </c>
      <c r="G14" s="1263"/>
      <c r="H14" s="1274">
        <v>0</v>
      </c>
      <c r="I14" s="1263"/>
      <c r="J14" s="1274">
        <v>0</v>
      </c>
      <c r="K14" s="1263"/>
      <c r="L14" s="1274">
        <v>0</v>
      </c>
      <c r="M14" s="1263"/>
      <c r="N14" s="1274">
        <v>0</v>
      </c>
      <c r="O14" s="1263"/>
      <c r="P14" s="1274">
        <v>0</v>
      </c>
      <c r="Q14" s="1289"/>
    </row>
    <row r="15" spans="1:17">
      <c r="A15" s="1296">
        <v>5</v>
      </c>
      <c r="B15" s="1273" t="s">
        <v>1125</v>
      </c>
      <c r="C15" s="1263" t="s">
        <v>999</v>
      </c>
      <c r="D15" s="1274">
        <v>457964.92000000016</v>
      </c>
      <c r="E15" s="1263"/>
      <c r="F15" s="1274">
        <v>405872.79000000015</v>
      </c>
      <c r="G15" s="1263"/>
      <c r="H15" s="1274">
        <v>498671.04999999976</v>
      </c>
      <c r="I15" s="1263"/>
      <c r="J15" s="1274">
        <f t="shared" ref="J15" si="0">J13+J14</f>
        <v>465057.30999999971</v>
      </c>
      <c r="K15" s="1263"/>
      <c r="L15" s="1274">
        <f t="shared" ref="L15:N15" si="1">L13+L14</f>
        <v>381252.11999999988</v>
      </c>
      <c r="M15" s="1263"/>
      <c r="N15" s="1274">
        <f t="shared" si="1"/>
        <v>415855.22</v>
      </c>
      <c r="O15" s="1263"/>
      <c r="P15" s="1274">
        <f t="shared" ref="P15" si="2">P13+P14</f>
        <v>478723.27000000025</v>
      </c>
      <c r="Q15" s="1289"/>
    </row>
    <row r="16" spans="1:17">
      <c r="A16" s="1296">
        <v>6</v>
      </c>
      <c r="B16" s="1273" t="s">
        <v>1126</v>
      </c>
      <c r="C16" s="1263" t="s">
        <v>999</v>
      </c>
      <c r="D16" s="1274">
        <v>3663.7193600000014</v>
      </c>
      <c r="E16" s="1263"/>
      <c r="F16" s="1274">
        <v>3246.9823200000014</v>
      </c>
      <c r="G16" s="1263"/>
      <c r="H16" s="1274">
        <v>3989.368399999998</v>
      </c>
      <c r="I16" s="1263"/>
      <c r="J16" s="1274">
        <f>J15*0.8%</f>
        <v>3720.4584799999975</v>
      </c>
      <c r="K16" s="1263"/>
      <c r="L16" s="1274">
        <f>L15*0.8%</f>
        <v>3050.016959999999</v>
      </c>
      <c r="M16" s="1263"/>
      <c r="N16" s="1274">
        <f>N15*0.8%</f>
        <v>3326.8417599999998</v>
      </c>
      <c r="O16" s="1263"/>
      <c r="P16" s="1274">
        <f>P15*0.8%</f>
        <v>3829.7861600000019</v>
      </c>
      <c r="Q16" s="1289"/>
    </row>
    <row r="17" spans="1:17" ht="21" customHeight="1">
      <c r="A17" s="1296">
        <v>7</v>
      </c>
      <c r="B17" s="1273" t="s">
        <v>1127</v>
      </c>
      <c r="C17" s="1263" t="s">
        <v>999</v>
      </c>
      <c r="D17" s="1274">
        <v>454301.20064000017</v>
      </c>
      <c r="E17" s="1263"/>
      <c r="F17" s="1274">
        <v>402625.80768000014</v>
      </c>
      <c r="G17" s="1263"/>
      <c r="H17" s="1274">
        <v>494681.68159999978</v>
      </c>
      <c r="I17" s="1263"/>
      <c r="J17" s="1274">
        <f t="shared" ref="J17" si="3">J15-J16</f>
        <v>461336.85151999973</v>
      </c>
      <c r="K17" s="1263"/>
      <c r="L17" s="1274">
        <f t="shared" ref="L17:N17" si="4">L15-L16</f>
        <v>378202.1030399999</v>
      </c>
      <c r="M17" s="1263"/>
      <c r="N17" s="1274">
        <f t="shared" si="4"/>
        <v>412528.37823999999</v>
      </c>
      <c r="O17" s="1263"/>
      <c r="P17" s="1274">
        <f t="shared" ref="P17" si="5">P15-P16</f>
        <v>474893.48384000023</v>
      </c>
      <c r="Q17" s="1289"/>
    </row>
    <row r="18" spans="1:17" ht="23.45" customHeight="1">
      <c r="A18" s="2037"/>
      <c r="B18" s="2038"/>
      <c r="C18" s="2038"/>
      <c r="D18" s="1275"/>
      <c r="E18" s="1275"/>
      <c r="F18" s="1275"/>
      <c r="G18" s="1275"/>
      <c r="H18" s="1275"/>
      <c r="I18" s="1275"/>
      <c r="J18" s="1275"/>
      <c r="K18" s="1275"/>
      <c r="L18" s="1275"/>
      <c r="M18" s="1275"/>
      <c r="N18" s="1275"/>
      <c r="O18" s="1275"/>
      <c r="P18" s="1275"/>
      <c r="Q18" s="1297"/>
    </row>
    <row r="19" spans="1:17" ht="26.1" customHeight="1">
      <c r="A19" s="1290" t="s">
        <v>1128</v>
      </c>
      <c r="B19" s="1265" t="s">
        <v>1129</v>
      </c>
      <c r="C19" s="1263"/>
      <c r="D19" s="1263"/>
      <c r="E19" s="1263"/>
      <c r="F19" s="1263"/>
      <c r="G19" s="1263"/>
      <c r="H19" s="1263"/>
      <c r="I19" s="1263"/>
      <c r="J19" s="1263"/>
      <c r="K19" s="1263"/>
      <c r="L19" s="1263"/>
      <c r="M19" s="1263"/>
      <c r="N19" s="1263"/>
      <c r="O19" s="1263"/>
      <c r="P19" s="1263"/>
      <c r="Q19" s="1289"/>
    </row>
    <row r="20" spans="1:17" ht="20.25" customHeight="1">
      <c r="A20" s="1296">
        <v>8</v>
      </c>
      <c r="B20" s="1273" t="s">
        <v>1130</v>
      </c>
      <c r="C20" s="1263" t="s">
        <v>320</v>
      </c>
      <c r="D20" s="1276">
        <v>2031996872.9841399</v>
      </c>
      <c r="E20" s="1277"/>
      <c r="F20" s="1276">
        <v>1726179334.6006565</v>
      </c>
      <c r="G20" s="1277"/>
      <c r="H20" s="1276">
        <v>1895976061.1199999</v>
      </c>
      <c r="I20" s="1277"/>
      <c r="J20" s="1276">
        <v>2341320545.6999998</v>
      </c>
      <c r="K20" s="1277"/>
      <c r="L20" s="1276">
        <v>2066782168.5503044</v>
      </c>
      <c r="M20" s="1277"/>
      <c r="N20" s="1276">
        <v>2248891646.7410879</v>
      </c>
      <c r="O20" s="1277"/>
      <c r="P20" s="1276">
        <v>2351003241.5324974</v>
      </c>
      <c r="Q20" s="1298"/>
    </row>
    <row r="21" spans="1:17" ht="23.45" customHeight="1">
      <c r="A21" s="1296">
        <v>9</v>
      </c>
      <c r="B21" s="1273" t="s">
        <v>1131</v>
      </c>
      <c r="C21" s="1263" t="s">
        <v>320</v>
      </c>
      <c r="D21" s="1276">
        <v>0</v>
      </c>
      <c r="E21" s="1277"/>
      <c r="F21" s="1276">
        <v>0</v>
      </c>
      <c r="G21" s="1277"/>
      <c r="H21" s="1276">
        <v>0</v>
      </c>
      <c r="I21" s="1277"/>
      <c r="J21" s="1276">
        <v>0</v>
      </c>
      <c r="K21" s="1277"/>
      <c r="L21" s="1276">
        <v>0</v>
      </c>
      <c r="M21" s="1277"/>
      <c r="N21" s="1276">
        <v>0</v>
      </c>
      <c r="O21" s="1277"/>
      <c r="P21" s="1276">
        <v>0</v>
      </c>
      <c r="Q21" s="1298"/>
    </row>
    <row r="22" spans="1:17" ht="23.45" customHeight="1">
      <c r="A22" s="1296">
        <v>10</v>
      </c>
      <c r="B22" s="1273" t="s">
        <v>1132</v>
      </c>
      <c r="C22" s="1263" t="s">
        <v>320</v>
      </c>
      <c r="D22" s="1276">
        <v>0</v>
      </c>
      <c r="E22" s="1277"/>
      <c r="F22" s="1276">
        <v>0</v>
      </c>
      <c r="G22" s="1277"/>
      <c r="H22" s="1276">
        <v>0</v>
      </c>
      <c r="I22" s="1277"/>
      <c r="J22" s="1276">
        <v>0</v>
      </c>
      <c r="K22" s="1277"/>
      <c r="L22" s="1276">
        <v>0</v>
      </c>
      <c r="M22" s="1277"/>
      <c r="N22" s="1276">
        <v>0</v>
      </c>
      <c r="O22" s="1277"/>
      <c r="P22" s="1276">
        <v>0</v>
      </c>
      <c r="Q22" s="1298"/>
    </row>
    <row r="23" spans="1:17" s="713" customFormat="1" ht="17.850000000000001" customHeight="1">
      <c r="A23" s="1290">
        <v>11</v>
      </c>
      <c r="B23" s="1265" t="s">
        <v>1133</v>
      </c>
      <c r="C23" s="1264" t="s">
        <v>320</v>
      </c>
      <c r="D23" s="1278">
        <v>2031996872.9841399</v>
      </c>
      <c r="E23" s="1279"/>
      <c r="F23" s="1278">
        <v>1726179334.6006565</v>
      </c>
      <c r="G23" s="1279"/>
      <c r="H23" s="1278">
        <v>1895976061.1199999</v>
      </c>
      <c r="I23" s="1279"/>
      <c r="J23" s="1278">
        <f t="shared" ref="J23" si="6">J20+J21+J22</f>
        <v>2341320545.6999998</v>
      </c>
      <c r="K23" s="1279"/>
      <c r="L23" s="1278">
        <f t="shared" ref="L23:N23" si="7">L20+L21+L22</f>
        <v>2066782168.5503044</v>
      </c>
      <c r="M23" s="1279"/>
      <c r="N23" s="1278">
        <f t="shared" si="7"/>
        <v>2248891646.7410879</v>
      </c>
      <c r="O23" s="1279"/>
      <c r="P23" s="1278">
        <f t="shared" ref="P23" si="8">P20+P21+P22</f>
        <v>2351003241.5324974</v>
      </c>
      <c r="Q23" s="1299"/>
    </row>
    <row r="24" spans="1:17" ht="25.35" customHeight="1">
      <c r="A24" s="2037"/>
      <c r="B24" s="2038"/>
      <c r="C24" s="2038"/>
      <c r="D24" s="1275"/>
      <c r="E24" s="1275"/>
      <c r="F24" s="1275"/>
      <c r="G24" s="1275"/>
      <c r="H24" s="1275"/>
      <c r="I24" s="1275"/>
      <c r="J24" s="1275"/>
      <c r="K24" s="1275"/>
      <c r="L24" s="1275"/>
      <c r="M24" s="1275"/>
      <c r="N24" s="1275"/>
      <c r="O24" s="1275"/>
      <c r="P24" s="1275"/>
      <c r="Q24" s="1297"/>
    </row>
    <row r="25" spans="1:17" ht="24.2" customHeight="1">
      <c r="A25" s="1290" t="s">
        <v>1134</v>
      </c>
      <c r="B25" s="1265" t="s">
        <v>1135</v>
      </c>
      <c r="C25" s="1263"/>
      <c r="D25" s="1263"/>
      <c r="E25" s="1263"/>
      <c r="F25" s="1263"/>
      <c r="G25" s="1263"/>
      <c r="H25" s="1263"/>
      <c r="I25" s="1263"/>
      <c r="J25" s="1263"/>
      <c r="K25" s="1263"/>
      <c r="L25" s="1263"/>
      <c r="M25" s="1263"/>
      <c r="N25" s="1263"/>
      <c r="O25" s="1263"/>
      <c r="P25" s="1263"/>
      <c r="Q25" s="1289"/>
    </row>
    <row r="26" spans="1:17" ht="27" customHeight="1">
      <c r="A26" s="1296">
        <v>12</v>
      </c>
      <c r="B26" s="1273" t="s">
        <v>323</v>
      </c>
      <c r="C26" s="1263" t="s">
        <v>320</v>
      </c>
      <c r="D26" s="1276">
        <v>62927149</v>
      </c>
      <c r="E26" s="1263"/>
      <c r="F26" s="1276">
        <v>58655344</v>
      </c>
      <c r="G26" s="1263"/>
      <c r="H26" s="1276">
        <v>88248482</v>
      </c>
      <c r="I26" s="1263"/>
      <c r="J26" s="1276">
        <f>+SUM(J27:J28)</f>
        <v>50782284</v>
      </c>
      <c r="K26" s="1263"/>
      <c r="L26" s="1276">
        <f>+SUM(L27:L28)</f>
        <v>38162151</v>
      </c>
      <c r="M26" s="1263"/>
      <c r="N26" s="1276">
        <f>+SUM(N27:N28)</f>
        <v>46434380</v>
      </c>
      <c r="O26" s="1263"/>
      <c r="P26" s="1276">
        <f>+SUM(P27:P28)</f>
        <v>94910577</v>
      </c>
      <c r="Q26" s="1289"/>
    </row>
    <row r="27" spans="1:17" ht="24.2" customHeight="1">
      <c r="A27" s="1296"/>
      <c r="B27" s="1280" t="s">
        <v>1136</v>
      </c>
      <c r="C27" s="1263"/>
      <c r="D27" s="1276">
        <v>62927149</v>
      </c>
      <c r="E27" s="1263"/>
      <c r="F27" s="1276">
        <v>58655344</v>
      </c>
      <c r="G27" s="1263"/>
      <c r="H27" s="1276">
        <v>88248482</v>
      </c>
      <c r="I27" s="1263"/>
      <c r="J27" s="1276">
        <v>50782284</v>
      </c>
      <c r="K27" s="1263"/>
      <c r="L27" s="1276">
        <v>38162151</v>
      </c>
      <c r="M27" s="1263"/>
      <c r="N27" s="1276">
        <v>46434380</v>
      </c>
      <c r="O27" s="1263"/>
      <c r="P27" s="1276">
        <v>94910577</v>
      </c>
      <c r="Q27" s="1289"/>
    </row>
    <row r="28" spans="1:17" ht="24.2" customHeight="1">
      <c r="A28" s="1296"/>
      <c r="B28" s="1280" t="s">
        <v>1137</v>
      </c>
      <c r="C28" s="1263"/>
      <c r="D28" s="1276">
        <v>0</v>
      </c>
      <c r="E28" s="1263"/>
      <c r="F28" s="1276">
        <v>0</v>
      </c>
      <c r="G28" s="1263"/>
      <c r="H28" s="1276">
        <v>0</v>
      </c>
      <c r="I28" s="1263"/>
      <c r="J28" s="1276">
        <v>0</v>
      </c>
      <c r="K28" s="1263"/>
      <c r="L28" s="1276">
        <v>0</v>
      </c>
      <c r="M28" s="1263"/>
      <c r="N28" s="1276">
        <v>0</v>
      </c>
      <c r="O28" s="1263"/>
      <c r="P28" s="1276">
        <v>0</v>
      </c>
      <c r="Q28" s="1289"/>
    </row>
    <row r="29" spans="1:17" ht="41.25" customHeight="1">
      <c r="A29" s="1296">
        <v>13</v>
      </c>
      <c r="B29" s="1273" t="s">
        <v>325</v>
      </c>
      <c r="C29" s="1263" t="s">
        <v>320</v>
      </c>
      <c r="D29" s="1276">
        <v>0</v>
      </c>
      <c r="E29" s="1263"/>
      <c r="F29" s="1276">
        <v>0</v>
      </c>
      <c r="G29" s="1263"/>
      <c r="H29" s="1276">
        <v>0</v>
      </c>
      <c r="I29" s="1263"/>
      <c r="J29" s="1276">
        <v>0</v>
      </c>
      <c r="K29" s="1263"/>
      <c r="L29" s="1276">
        <v>0</v>
      </c>
      <c r="M29" s="1263"/>
      <c r="N29" s="1276">
        <v>0</v>
      </c>
      <c r="O29" s="1263"/>
      <c r="P29" s="1276">
        <v>0</v>
      </c>
      <c r="Q29" s="1289"/>
    </row>
    <row r="30" spans="1:17" ht="19.899999999999999" customHeight="1">
      <c r="A30" s="1296">
        <v>14</v>
      </c>
      <c r="B30" s="1273" t="s">
        <v>326</v>
      </c>
      <c r="C30" s="1263" t="s">
        <v>320</v>
      </c>
      <c r="D30" s="1276">
        <v>0</v>
      </c>
      <c r="E30" s="1263"/>
      <c r="F30" s="1276">
        <v>0</v>
      </c>
      <c r="G30" s="1263"/>
      <c r="H30" s="1276">
        <v>0</v>
      </c>
      <c r="I30" s="1263"/>
      <c r="J30" s="1276">
        <v>0</v>
      </c>
      <c r="K30" s="1263"/>
      <c r="L30" s="1276">
        <v>0</v>
      </c>
      <c r="M30" s="1263"/>
      <c r="N30" s="1276">
        <v>0</v>
      </c>
      <c r="O30" s="1263"/>
      <c r="P30" s="1276">
        <v>0</v>
      </c>
      <c r="Q30" s="1289"/>
    </row>
    <row r="31" spans="1:17" ht="39.75" customHeight="1">
      <c r="A31" s="1296">
        <v>15</v>
      </c>
      <c r="B31" s="1273" t="s">
        <v>1138</v>
      </c>
      <c r="C31" s="1263" t="s">
        <v>320</v>
      </c>
      <c r="D31" s="1276">
        <v>0</v>
      </c>
      <c r="E31" s="1263"/>
      <c r="F31" s="1276">
        <v>0</v>
      </c>
      <c r="G31" s="1263"/>
      <c r="H31" s="1276">
        <v>0</v>
      </c>
      <c r="I31" s="1263"/>
      <c r="J31" s="1276">
        <v>0</v>
      </c>
      <c r="K31" s="1263"/>
      <c r="L31" s="1276">
        <v>0</v>
      </c>
      <c r="M31" s="1263"/>
      <c r="N31" s="1276">
        <v>0</v>
      </c>
      <c r="O31" s="1263"/>
      <c r="P31" s="1276">
        <v>0</v>
      </c>
      <c r="Q31" s="1289"/>
    </row>
    <row r="32" spans="1:17">
      <c r="A32" s="1296">
        <v>16</v>
      </c>
      <c r="B32" s="1273" t="s">
        <v>1139</v>
      </c>
      <c r="C32" s="1263" t="s">
        <v>320</v>
      </c>
      <c r="D32" s="1276">
        <v>62927149</v>
      </c>
      <c r="E32" s="1263"/>
      <c r="F32" s="1276">
        <v>58655344</v>
      </c>
      <c r="G32" s="1263"/>
      <c r="H32" s="1276">
        <v>88248482</v>
      </c>
      <c r="I32" s="1263"/>
      <c r="J32" s="1276">
        <f>+J26+J29-J30+J31</f>
        <v>50782284</v>
      </c>
      <c r="K32" s="1263"/>
      <c r="L32" s="1276">
        <f>+L26+L29-L30+L31</f>
        <v>38162151</v>
      </c>
      <c r="M32" s="1263"/>
      <c r="N32" s="1276">
        <f>+N26+N29-N30+N31</f>
        <v>46434380</v>
      </c>
      <c r="O32" s="1263"/>
      <c r="P32" s="1276">
        <f>+P26+P29-P30+P31</f>
        <v>94910577</v>
      </c>
      <c r="Q32" s="1289"/>
    </row>
    <row r="33" spans="1:17" s="713" customFormat="1" ht="31.5">
      <c r="A33" s="1290">
        <v>17</v>
      </c>
      <c r="B33" s="1265" t="s">
        <v>1140</v>
      </c>
      <c r="C33" s="1264" t="s">
        <v>320</v>
      </c>
      <c r="D33" s="1278">
        <v>2094924021.9841399</v>
      </c>
      <c r="E33" s="1264"/>
      <c r="F33" s="1278">
        <v>1784834678.6006565</v>
      </c>
      <c r="G33" s="1264"/>
      <c r="H33" s="1278">
        <v>1984224543.1199999</v>
      </c>
      <c r="I33" s="1264"/>
      <c r="J33" s="1278">
        <f t="shared" ref="J33" si="9">J23+J32</f>
        <v>2392102829.6999998</v>
      </c>
      <c r="K33" s="1264"/>
      <c r="L33" s="1278">
        <f t="shared" ref="L33:N33" si="10">L23+L32</f>
        <v>2104944319.5503044</v>
      </c>
      <c r="M33" s="1264"/>
      <c r="N33" s="1278">
        <f t="shared" si="10"/>
        <v>2295326026.7410879</v>
      </c>
      <c r="O33" s="1264"/>
      <c r="P33" s="1278">
        <f t="shared" ref="P33" si="11">P23+P32</f>
        <v>2445913818.5324974</v>
      </c>
      <c r="Q33" s="1291"/>
    </row>
    <row r="34" spans="1:17">
      <c r="A34" s="2037"/>
      <c r="B34" s="2038"/>
      <c r="C34" s="2038"/>
      <c r="D34" s="1275"/>
      <c r="E34" s="1275"/>
      <c r="F34" s="1275"/>
      <c r="G34" s="1275"/>
      <c r="H34" s="1275"/>
      <c r="I34" s="1275"/>
      <c r="J34" s="1275"/>
      <c r="K34" s="1275"/>
      <c r="L34" s="1275"/>
      <c r="M34" s="1275"/>
      <c r="N34" s="1275"/>
      <c r="O34" s="1275"/>
      <c r="P34" s="1275"/>
      <c r="Q34" s="1297"/>
    </row>
    <row r="35" spans="1:17">
      <c r="A35" s="1290" t="s">
        <v>1141</v>
      </c>
      <c r="B35" s="1265" t="s">
        <v>1142</v>
      </c>
      <c r="C35" s="1263"/>
      <c r="D35" s="1263"/>
      <c r="E35" s="1263"/>
      <c r="F35" s="1263"/>
      <c r="G35" s="1263"/>
      <c r="H35" s="1263"/>
      <c r="I35" s="1263"/>
      <c r="J35" s="1263"/>
      <c r="K35" s="1263"/>
      <c r="L35" s="1263"/>
      <c r="M35" s="1263"/>
      <c r="N35" s="1263"/>
      <c r="O35" s="1263"/>
      <c r="P35" s="1263"/>
      <c r="Q35" s="1289"/>
    </row>
    <row r="36" spans="1:17">
      <c r="A36" s="1296">
        <v>18</v>
      </c>
      <c r="B36" s="1273" t="s">
        <v>1143</v>
      </c>
      <c r="C36" s="1263" t="s">
        <v>331</v>
      </c>
      <c r="D36" s="1281">
        <v>4589.4669542880938</v>
      </c>
      <c r="E36" s="1263"/>
      <c r="F36" s="1281">
        <v>4472.3911490325618</v>
      </c>
      <c r="G36" s="1263"/>
      <c r="H36" s="1281">
        <v>4104.2625825414234</v>
      </c>
      <c r="I36" s="1263"/>
      <c r="J36" s="1281">
        <f t="shared" ref="J36" si="12">(J10+J33)/(J9+J17)</f>
        <v>4972.9624658906614</v>
      </c>
      <c r="K36" s="1263"/>
      <c r="L36" s="1281">
        <f t="shared" ref="L36:N36" si="13">(L10+L33)/(L9+L17)</f>
        <v>5438.5342273414099</v>
      </c>
      <c r="M36" s="1263"/>
      <c r="N36" s="1281">
        <f t="shared" si="13"/>
        <v>5539.7753880530472</v>
      </c>
      <c r="O36" s="1263"/>
      <c r="P36" s="1281">
        <f t="shared" ref="P36" si="14">(P10+P33)/(P9+P17)</f>
        <v>5215.5650096825439</v>
      </c>
      <c r="Q36" s="1289"/>
    </row>
    <row r="37" spans="1:17">
      <c r="A37" s="1296">
        <v>19</v>
      </c>
      <c r="B37" s="1273" t="s">
        <v>332</v>
      </c>
      <c r="C37" s="1263"/>
      <c r="D37" s="1263" t="s">
        <v>1144</v>
      </c>
      <c r="E37" s="1263"/>
      <c r="F37" s="1263" t="s">
        <v>1144</v>
      </c>
      <c r="G37" s="1263"/>
      <c r="H37" s="1263" t="s">
        <v>1144</v>
      </c>
      <c r="I37" s="1263"/>
      <c r="J37" s="1263" t="s">
        <v>1144</v>
      </c>
      <c r="K37" s="1263"/>
      <c r="L37" s="1263" t="s">
        <v>1144</v>
      </c>
      <c r="M37" s="1263"/>
      <c r="N37" s="1263" t="s">
        <v>1144</v>
      </c>
      <c r="O37" s="1263"/>
      <c r="P37" s="1263" t="s">
        <v>1144</v>
      </c>
      <c r="Q37" s="1289"/>
    </row>
    <row r="38" spans="1:17">
      <c r="A38" s="1296">
        <v>20</v>
      </c>
      <c r="B38" s="1273" t="s">
        <v>1145</v>
      </c>
      <c r="C38" s="1263" t="s">
        <v>331</v>
      </c>
      <c r="D38" s="1274">
        <v>4606.2020245205022</v>
      </c>
      <c r="E38" s="1263"/>
      <c r="F38" s="1274">
        <v>4601.3971376304326</v>
      </c>
      <c r="G38" s="1263"/>
      <c r="H38" s="1274">
        <v>4531.2407028668831</v>
      </c>
      <c r="I38" s="1263"/>
      <c r="J38" s="1274">
        <f>+SUM(H33,F33,D33,D10,F10,H10)/SUM(H17,F17,F9,H9,D17,D9)</f>
        <v>4383.5436495336853</v>
      </c>
      <c r="K38" s="1263"/>
      <c r="L38" s="1274">
        <f>+SUM(J33,H33,F33,F10,H10,J10)/SUM(J17,H17,H9,J9,F17,F9)</f>
        <v>4506.5449115723868</v>
      </c>
      <c r="M38" s="1263"/>
      <c r="N38" s="1274">
        <f>+SUM(L33,J33,H33,H10,J10,L10)/SUM(L17,J17,J9,L9,H17,H9)</f>
        <v>4785.355915157762</v>
      </c>
      <c r="O38" s="1263"/>
      <c r="P38" s="1274">
        <f>+SUM(N33,L33,J33,J10,L10,N10)/SUM(N17,L17,L9,N9,J17,J9)</f>
        <v>5301.0195328006939</v>
      </c>
      <c r="Q38" s="1289"/>
    </row>
    <row r="39" spans="1:17">
      <c r="A39" s="2037"/>
      <c r="B39" s="2038"/>
      <c r="C39" s="2038"/>
      <c r="D39" s="1275"/>
      <c r="E39" s="1275"/>
      <c r="F39" s="1275"/>
      <c r="G39" s="1275"/>
      <c r="H39" s="1275"/>
      <c r="I39" s="1275"/>
      <c r="J39" s="1275"/>
      <c r="K39" s="1275"/>
      <c r="L39" s="1275"/>
      <c r="M39" s="1275"/>
      <c r="N39" s="1275"/>
      <c r="O39" s="1275"/>
      <c r="P39" s="1275"/>
      <c r="Q39" s="1297"/>
    </row>
    <row r="40" spans="1:17">
      <c r="A40" s="1290" t="s">
        <v>1146</v>
      </c>
      <c r="B40" s="1265" t="s">
        <v>1147</v>
      </c>
      <c r="C40" s="1263"/>
      <c r="D40" s="1263"/>
      <c r="E40" s="1263"/>
      <c r="F40" s="1263"/>
      <c r="G40" s="1263"/>
      <c r="H40" s="1263"/>
      <c r="I40" s="1263"/>
      <c r="J40" s="1263"/>
      <c r="K40" s="1263"/>
      <c r="L40" s="1263"/>
      <c r="M40" s="1263"/>
      <c r="N40" s="1263"/>
      <c r="O40" s="1263"/>
      <c r="P40" s="1263"/>
      <c r="Q40" s="1289"/>
    </row>
    <row r="41" spans="1:17" ht="31.5">
      <c r="A41" s="1296">
        <v>21</v>
      </c>
      <c r="B41" s="1273" t="s">
        <v>1148</v>
      </c>
      <c r="C41" s="1263" t="s">
        <v>1149</v>
      </c>
      <c r="D41" s="1274">
        <v>4412.1165356957372</v>
      </c>
      <c r="E41" s="1263"/>
      <c r="F41" s="1274">
        <v>4388.1378936335013</v>
      </c>
      <c r="G41" s="1263"/>
      <c r="H41" s="1274">
        <v>4297.5048753766478</v>
      </c>
      <c r="I41" s="1263"/>
      <c r="J41" s="1274">
        <f t="shared" ref="J41" si="15">H45</f>
        <v>4073.6441796512831</v>
      </c>
      <c r="K41" s="1263"/>
      <c r="L41" s="1274">
        <f t="shared" ref="L41" si="16">J45</f>
        <v>4365.6689117848227</v>
      </c>
      <c r="M41" s="1263"/>
      <c r="N41" s="1274">
        <f t="shared" ref="N41" si="17">L45</f>
        <v>4567.0203734085162</v>
      </c>
      <c r="O41" s="1263"/>
      <c r="P41" s="1274">
        <f t="shared" ref="P41" si="18">N45</f>
        <v>4519.4121799547784</v>
      </c>
      <c r="Q41" s="1289"/>
    </row>
    <row r="42" spans="1:17">
      <c r="A42" s="1296">
        <v>22</v>
      </c>
      <c r="B42" s="1273" t="s">
        <v>1150</v>
      </c>
      <c r="C42" s="1263" t="s">
        <v>1149</v>
      </c>
      <c r="D42" s="1276">
        <v>4380</v>
      </c>
      <c r="E42" s="1263"/>
      <c r="F42" s="1276">
        <v>4267</v>
      </c>
      <c r="G42" s="1263"/>
      <c r="H42" s="1276">
        <v>4017</v>
      </c>
      <c r="I42" s="1263"/>
      <c r="J42" s="1276">
        <v>4437</v>
      </c>
      <c r="K42" s="1263"/>
      <c r="L42" s="1276">
        <v>4622</v>
      </c>
      <c r="M42" s="1263"/>
      <c r="N42" s="1276">
        <v>4508</v>
      </c>
      <c r="O42" s="1263"/>
      <c r="P42" s="1276">
        <v>4267</v>
      </c>
      <c r="Q42" s="1289"/>
    </row>
    <row r="43" spans="1:17">
      <c r="A43" s="1296">
        <v>23</v>
      </c>
      <c r="B43" s="1273" t="s">
        <v>1151</v>
      </c>
      <c r="C43" s="1263" t="s">
        <v>1149</v>
      </c>
      <c r="D43" s="1274"/>
      <c r="E43" s="1263"/>
      <c r="F43" s="1274"/>
      <c r="G43" s="1263"/>
      <c r="H43" s="1274"/>
      <c r="I43" s="1263"/>
      <c r="J43" s="1274"/>
      <c r="K43" s="1263"/>
      <c r="L43" s="1274"/>
      <c r="M43" s="1263"/>
      <c r="N43" s="1274"/>
      <c r="O43" s="1263"/>
      <c r="P43" s="1274"/>
      <c r="Q43" s="1289"/>
    </row>
    <row r="44" spans="1:17">
      <c r="A44" s="1296">
        <v>24</v>
      </c>
      <c r="B44" s="1273" t="s">
        <v>1152</v>
      </c>
      <c r="C44" s="1263" t="s">
        <v>1149</v>
      </c>
      <c r="D44" s="1274"/>
      <c r="E44" s="1263"/>
      <c r="F44" s="1274"/>
      <c r="G44" s="1263"/>
      <c r="H44" s="1274"/>
      <c r="I44" s="1263"/>
      <c r="J44" s="1274"/>
      <c r="K44" s="1263"/>
      <c r="L44" s="1274"/>
      <c r="M44" s="1263"/>
      <c r="N44" s="1274"/>
      <c r="O44" s="1263"/>
      <c r="P44" s="1274"/>
      <c r="Q44" s="1289"/>
    </row>
    <row r="45" spans="1:17">
      <c r="A45" s="1296">
        <v>25</v>
      </c>
      <c r="B45" s="1273" t="s">
        <v>1153</v>
      </c>
      <c r="C45" s="1263" t="s">
        <v>1149</v>
      </c>
      <c r="D45" s="1274">
        <v>4388.1378936335013</v>
      </c>
      <c r="E45" s="1282"/>
      <c r="F45" s="1274">
        <v>4297.5048753766478</v>
      </c>
      <c r="G45" s="1282"/>
      <c r="H45" s="1274">
        <v>4073.6441796512831</v>
      </c>
      <c r="I45" s="1282"/>
      <c r="J45" s="1274">
        <f t="shared" ref="J45" si="19">(J41*J9+J42*J17)/(J9+J17)</f>
        <v>4365.6689117848227</v>
      </c>
      <c r="K45" s="1282"/>
      <c r="L45" s="1274">
        <f t="shared" ref="L45:N45" si="20">(L41*L9+L42*L17)/(L9+L17)</f>
        <v>4567.0203734085162</v>
      </c>
      <c r="M45" s="1282"/>
      <c r="N45" s="1274">
        <f t="shared" si="20"/>
        <v>4519.4121799547784</v>
      </c>
      <c r="O45" s="1282"/>
      <c r="P45" s="1274">
        <f t="shared" ref="P45" si="21">(P41*P9+P42*P17)/(P9+P17)</f>
        <v>4309.2176632900382</v>
      </c>
      <c r="Q45" s="1300"/>
    </row>
    <row r="46" spans="1:17">
      <c r="A46" s="1296">
        <v>26</v>
      </c>
      <c r="B46" s="1273" t="s">
        <v>1154</v>
      </c>
      <c r="C46" s="1263" t="s">
        <v>1149</v>
      </c>
      <c r="D46" s="1274">
        <v>4004.8301654915863</v>
      </c>
      <c r="E46" s="1263"/>
      <c r="F46" s="1274">
        <v>4032.5816691292625</v>
      </c>
      <c r="G46" s="1263"/>
      <c r="H46" s="1274">
        <v>4024.6646698929862</v>
      </c>
      <c r="I46" s="1263"/>
      <c r="J46" s="1274">
        <f t="shared" ref="J46" si="22">H50</f>
        <v>4029.7206654563493</v>
      </c>
      <c r="K46" s="1263"/>
      <c r="L46" s="1274">
        <f t="shared" ref="L46" si="23">J50</f>
        <v>4095.8475837128831</v>
      </c>
      <c r="M46" s="1263"/>
      <c r="N46" s="1274">
        <f t="shared" ref="N46" si="24">L50</f>
        <v>4238.9307169881968</v>
      </c>
      <c r="O46" s="1263"/>
      <c r="P46" s="1274">
        <f t="shared" ref="P46" si="25">N50</f>
        <v>4244.6330833706606</v>
      </c>
      <c r="Q46" s="1289"/>
    </row>
    <row r="47" spans="1:17">
      <c r="A47" s="1296">
        <v>27</v>
      </c>
      <c r="B47" s="1273" t="s">
        <v>1155</v>
      </c>
      <c r="C47" s="1263" t="s">
        <v>1149</v>
      </c>
      <c r="D47" s="1276">
        <v>4042</v>
      </c>
      <c r="E47" s="1263"/>
      <c r="F47" s="1276">
        <v>4022</v>
      </c>
      <c r="G47" s="1263"/>
      <c r="H47" s="1276">
        <v>4031</v>
      </c>
      <c r="I47" s="1263"/>
      <c r="J47" s="1276">
        <v>4112</v>
      </c>
      <c r="K47" s="1263"/>
      <c r="L47" s="1276">
        <v>4278</v>
      </c>
      <c r="M47" s="1263"/>
      <c r="N47" s="1276">
        <v>4246</v>
      </c>
      <c r="O47" s="1263"/>
      <c r="P47" s="1276">
        <v>3953</v>
      </c>
      <c r="Q47" s="1289"/>
    </row>
    <row r="48" spans="1:17">
      <c r="A48" s="1296">
        <v>28</v>
      </c>
      <c r="B48" s="1273" t="s">
        <v>1156</v>
      </c>
      <c r="C48" s="1263" t="s">
        <v>1149</v>
      </c>
      <c r="D48" s="1274"/>
      <c r="E48" s="1263"/>
      <c r="F48" s="1274"/>
      <c r="G48" s="1263"/>
      <c r="H48" s="1274"/>
      <c r="I48" s="1263"/>
      <c r="J48" s="1274"/>
      <c r="K48" s="1263"/>
      <c r="L48" s="1274"/>
      <c r="M48" s="1263"/>
      <c r="N48" s="1274"/>
      <c r="O48" s="1263"/>
      <c r="P48" s="1274"/>
      <c r="Q48" s="1289"/>
    </row>
    <row r="49" spans="1:17">
      <c r="A49" s="1296">
        <v>29</v>
      </c>
      <c r="B49" s="1273" t="s">
        <v>1157</v>
      </c>
      <c r="C49" s="1263" t="s">
        <v>1149</v>
      </c>
      <c r="D49" s="1274"/>
      <c r="E49" s="1263"/>
      <c r="F49" s="1274"/>
      <c r="G49" s="1263"/>
      <c r="H49" s="1274"/>
      <c r="I49" s="1263"/>
      <c r="J49" s="1274"/>
      <c r="K49" s="1263"/>
      <c r="L49" s="1274"/>
      <c r="M49" s="1263"/>
      <c r="N49" s="1274"/>
      <c r="O49" s="1263"/>
      <c r="P49" s="1274"/>
      <c r="Q49" s="1289"/>
    </row>
    <row r="50" spans="1:17">
      <c r="A50" s="1296">
        <v>30</v>
      </c>
      <c r="B50" s="1273" t="s">
        <v>1158</v>
      </c>
      <c r="C50" s="1263" t="s">
        <v>1149</v>
      </c>
      <c r="D50" s="2022">
        <v>4032.5816691292625</v>
      </c>
      <c r="E50" s="2022"/>
      <c r="F50" s="2022">
        <v>4024.6646698929862</v>
      </c>
      <c r="G50" s="2022"/>
      <c r="H50" s="2022">
        <v>4029.7206654563493</v>
      </c>
      <c r="I50" s="2022"/>
      <c r="J50" s="2022">
        <f t="shared" ref="J50" si="26">(J46*J9+J47*J17)/(J9+J17)</f>
        <v>4095.8475837128831</v>
      </c>
      <c r="K50" s="2022"/>
      <c r="L50" s="2022">
        <f t="shared" ref="L50:N50" si="27">(L46*L9+L47*L17)/(L9+L17)</f>
        <v>4238.9307169881968</v>
      </c>
      <c r="M50" s="2022"/>
      <c r="N50" s="2022">
        <f t="shared" si="27"/>
        <v>4244.6330833706606</v>
      </c>
      <c r="O50" s="2022"/>
      <c r="P50" s="2022">
        <f t="shared" ref="P50" si="28">(P46*P9+P47*P17)/(P9+P17)</f>
        <v>4001.7776276096661</v>
      </c>
      <c r="Q50" s="2023"/>
    </row>
    <row r="51" spans="1:17">
      <c r="A51" s="1296">
        <v>31</v>
      </c>
      <c r="B51" s="1273" t="s">
        <v>1159</v>
      </c>
      <c r="C51" s="1263" t="s">
        <v>1149</v>
      </c>
      <c r="D51" s="2018">
        <v>4018</v>
      </c>
      <c r="E51" s="2018"/>
      <c r="F51" s="2018">
        <v>4008</v>
      </c>
      <c r="G51" s="2018"/>
      <c r="H51" s="2018">
        <v>4009</v>
      </c>
      <c r="I51" s="2018"/>
      <c r="J51" s="2018">
        <v>4082</v>
      </c>
      <c r="K51" s="2018"/>
      <c r="L51" s="2018">
        <v>4240</v>
      </c>
      <c r="M51" s="2018"/>
      <c r="N51" s="2018">
        <v>4216</v>
      </c>
      <c r="O51" s="2018"/>
      <c r="P51" s="2018">
        <v>3929</v>
      </c>
      <c r="Q51" s="2019"/>
    </row>
    <row r="52" spans="1:17">
      <c r="A52" s="1296">
        <v>32</v>
      </c>
      <c r="B52" s="1273" t="s">
        <v>1160</v>
      </c>
      <c r="C52" s="1269" t="s">
        <v>1161</v>
      </c>
      <c r="D52" s="1271">
        <v>472968.28064000001</v>
      </c>
      <c r="E52" s="1269"/>
      <c r="F52" s="1271">
        <v>412969.01767999999</v>
      </c>
      <c r="G52" s="1269"/>
      <c r="H52" s="1271">
        <v>507164.63160000002</v>
      </c>
      <c r="I52" s="1269"/>
      <c r="J52" s="1271">
        <f>474476-J16</f>
        <v>470755.54152000003</v>
      </c>
      <c r="K52" s="1269"/>
      <c r="L52" s="1271">
        <f>385634-L16</f>
        <v>382583.98304000002</v>
      </c>
      <c r="M52" s="1269"/>
      <c r="N52" s="1271">
        <f>419360-N16</f>
        <v>416033.15824000002</v>
      </c>
      <c r="O52" s="1269"/>
      <c r="P52" s="1271">
        <f>483763-P16</f>
        <v>479933.21383999998</v>
      </c>
      <c r="Q52" s="1293"/>
    </row>
    <row r="53" spans="1:17">
      <c r="A53" s="1301"/>
      <c r="B53" s="2024" t="s">
        <v>1162</v>
      </c>
      <c r="C53" s="2025"/>
      <c r="D53" s="1259"/>
      <c r="E53" s="1259"/>
      <c r="F53" s="1259"/>
      <c r="G53" s="1259"/>
      <c r="H53" s="1259"/>
      <c r="I53" s="1259"/>
      <c r="J53" s="1259"/>
      <c r="K53" s="1259"/>
      <c r="L53" s="1259"/>
      <c r="M53" s="1259"/>
      <c r="N53" s="1259"/>
      <c r="O53" s="1259"/>
      <c r="P53" s="1259"/>
      <c r="Q53" s="1287"/>
    </row>
    <row r="54" spans="1:17">
      <c r="A54" s="1301"/>
      <c r="B54" s="1302"/>
      <c r="C54" s="1259"/>
      <c r="D54" s="1259"/>
      <c r="E54" s="1259"/>
      <c r="F54" s="1259"/>
      <c r="G54" s="1259"/>
      <c r="H54" s="1303"/>
      <c r="I54" s="1259"/>
      <c r="J54" s="1259"/>
      <c r="K54" s="1259"/>
      <c r="L54" s="1259"/>
      <c r="M54" s="1259"/>
      <c r="N54" s="1259"/>
      <c r="O54" s="1259"/>
      <c r="P54" s="1259"/>
      <c r="Q54" s="1287"/>
    </row>
    <row r="55" spans="1:17" ht="19.5" thickBot="1">
      <c r="A55" s="1304"/>
      <c r="B55" s="1305"/>
      <c r="C55" s="1306"/>
      <c r="D55" s="1306"/>
      <c r="E55" s="1306"/>
      <c r="F55" s="1306"/>
      <c r="G55" s="1306"/>
      <c r="H55" s="1306"/>
      <c r="I55" s="1306"/>
      <c r="J55" s="1306"/>
      <c r="K55" s="1306"/>
      <c r="L55" s="1306"/>
      <c r="M55" s="1306"/>
      <c r="N55" s="1306"/>
      <c r="O55" s="2026" t="s">
        <v>700</v>
      </c>
      <c r="P55" s="2026"/>
      <c r="Q55" s="2027"/>
    </row>
  </sheetData>
  <mergeCells count="35">
    <mergeCell ref="O55:Q55"/>
    <mergeCell ref="A1:E1"/>
    <mergeCell ref="A3:E3"/>
    <mergeCell ref="A4:E4"/>
    <mergeCell ref="A5:A6"/>
    <mergeCell ref="B5:B6"/>
    <mergeCell ref="C5:C6"/>
    <mergeCell ref="A18:C18"/>
    <mergeCell ref="A24:C24"/>
    <mergeCell ref="A34:C34"/>
    <mergeCell ref="A39:C39"/>
    <mergeCell ref="H5:I5"/>
    <mergeCell ref="D5:E5"/>
    <mergeCell ref="F5:G5"/>
    <mergeCell ref="A7:C7"/>
    <mergeCell ref="A11:C11"/>
    <mergeCell ref="B53:C53"/>
    <mergeCell ref="D51:E51"/>
    <mergeCell ref="F51:G51"/>
    <mergeCell ref="H51:I51"/>
    <mergeCell ref="D50:E50"/>
    <mergeCell ref="F50:G50"/>
    <mergeCell ref="H50:I50"/>
    <mergeCell ref="J51:K51"/>
    <mergeCell ref="L51:M51"/>
    <mergeCell ref="N51:O51"/>
    <mergeCell ref="P51:Q51"/>
    <mergeCell ref="J5:K5"/>
    <mergeCell ref="L5:M5"/>
    <mergeCell ref="N5:O5"/>
    <mergeCell ref="P5:Q5"/>
    <mergeCell ref="J50:K50"/>
    <mergeCell ref="L50:M50"/>
    <mergeCell ref="N50:O50"/>
    <mergeCell ref="P50:Q50"/>
  </mergeCells>
  <pageMargins left="0.33" right="0.42" top="0.52" bottom="0.41" header="0.3" footer="0.3"/>
  <pageSetup paperSize="9" scale="45" orientation="landscape" horizontalDpi="4294967293" r:id="rId1"/>
</worksheet>
</file>

<file path=xl/worksheets/sheet28.xml><?xml version="1.0" encoding="utf-8"?>
<worksheet xmlns="http://schemas.openxmlformats.org/spreadsheetml/2006/main" xmlns:r="http://schemas.openxmlformats.org/officeDocument/2006/relationships">
  <sheetPr>
    <pageSetUpPr fitToPage="1"/>
  </sheetPr>
  <dimension ref="A1:Q63"/>
  <sheetViews>
    <sheetView topLeftCell="D1" zoomScale="85" zoomScaleNormal="85" workbookViewId="0">
      <selection activeCell="L21" sqref="L21"/>
    </sheetView>
  </sheetViews>
  <sheetFormatPr defaultColWidth="9.33203125" defaultRowHeight="18.75"/>
  <cols>
    <col min="1" max="1" width="8" style="714" customWidth="1"/>
    <col min="2" max="2" width="90.5" style="716" customWidth="1"/>
    <col min="3" max="3" width="9.6640625" style="714" bestFit="1" customWidth="1"/>
    <col min="4" max="17" width="17.83203125" style="714" bestFit="1" customWidth="1"/>
    <col min="18" max="16384" width="9.33203125" style="714"/>
  </cols>
  <sheetData>
    <row r="1" spans="1:17" s="712" customFormat="1" ht="24.75" customHeight="1">
      <c r="A1" s="1307" t="s">
        <v>1163</v>
      </c>
      <c r="B1" s="1308"/>
      <c r="C1" s="1308"/>
      <c r="D1" s="1283"/>
      <c r="E1" s="1283"/>
      <c r="F1" s="1283"/>
      <c r="G1" s="1283"/>
      <c r="H1" s="1283"/>
      <c r="I1" s="1283"/>
      <c r="J1" s="1283"/>
      <c r="K1" s="1283"/>
      <c r="L1" s="1283"/>
      <c r="M1" s="1283"/>
      <c r="N1" s="1283"/>
      <c r="O1" s="1283"/>
      <c r="P1" s="1284" t="s">
        <v>743</v>
      </c>
      <c r="Q1" s="1285"/>
    </row>
    <row r="2" spans="1:17" s="712" customFormat="1">
      <c r="A2" s="1309" t="s">
        <v>1114</v>
      </c>
      <c r="B2" s="1310"/>
      <c r="C2" s="1311"/>
      <c r="D2" s="1259"/>
      <c r="E2" s="1259"/>
      <c r="F2" s="1259"/>
      <c r="G2" s="1259"/>
      <c r="H2" s="1259"/>
      <c r="I2" s="1259"/>
      <c r="J2" s="1259"/>
      <c r="K2" s="1259"/>
      <c r="L2" s="1259"/>
      <c r="M2" s="1259"/>
      <c r="N2" s="1259"/>
      <c r="O2" s="1259"/>
      <c r="P2" s="1083" t="s">
        <v>800</v>
      </c>
      <c r="Q2" s="1287"/>
    </row>
    <row r="3" spans="1:17" s="712" customFormat="1">
      <c r="A3" s="1309" t="s">
        <v>1115</v>
      </c>
      <c r="B3" s="1310"/>
      <c r="C3" s="1311"/>
      <c r="D3" s="1259"/>
      <c r="E3" s="1259"/>
      <c r="F3" s="1259"/>
      <c r="G3" s="1259"/>
      <c r="H3" s="1259"/>
      <c r="I3" s="1259"/>
      <c r="J3" s="1259"/>
      <c r="K3" s="1259"/>
      <c r="L3" s="1259"/>
      <c r="M3" s="1259"/>
      <c r="N3" s="1259"/>
      <c r="O3" s="1259"/>
      <c r="P3" s="1259"/>
      <c r="Q3" s="1287"/>
    </row>
    <row r="4" spans="1:17" s="713" customFormat="1" ht="22.5" customHeight="1">
      <c r="A4" s="2034" t="s">
        <v>1116</v>
      </c>
      <c r="B4" s="2035" t="s">
        <v>298</v>
      </c>
      <c r="C4" s="2036" t="s">
        <v>350</v>
      </c>
      <c r="D4" s="2020">
        <v>44562</v>
      </c>
      <c r="E4" s="2020"/>
      <c r="F4" s="2020">
        <v>44593</v>
      </c>
      <c r="G4" s="2020"/>
      <c r="H4" s="2020">
        <v>44621</v>
      </c>
      <c r="I4" s="2020"/>
      <c r="J4" s="2020">
        <v>44652</v>
      </c>
      <c r="K4" s="2020"/>
      <c r="L4" s="2020">
        <v>44682</v>
      </c>
      <c r="M4" s="2020"/>
      <c r="N4" s="2020">
        <v>44713</v>
      </c>
      <c r="O4" s="2020"/>
      <c r="P4" s="2020">
        <v>44743</v>
      </c>
      <c r="Q4" s="2021"/>
    </row>
    <row r="5" spans="1:17" s="713" customFormat="1">
      <c r="A5" s="2034"/>
      <c r="B5" s="2035"/>
      <c r="C5" s="2036"/>
      <c r="D5" s="1264" t="s">
        <v>306</v>
      </c>
      <c r="E5" s="1264" t="s">
        <v>306</v>
      </c>
      <c r="F5" s="1264" t="s">
        <v>306</v>
      </c>
      <c r="G5" s="1264" t="s">
        <v>306</v>
      </c>
      <c r="H5" s="1264" t="s">
        <v>306</v>
      </c>
      <c r="I5" s="1264" t="s">
        <v>306</v>
      </c>
      <c r="J5" s="1264" t="s">
        <v>306</v>
      </c>
      <c r="K5" s="1264" t="s">
        <v>306</v>
      </c>
      <c r="L5" s="1264" t="s">
        <v>306</v>
      </c>
      <c r="M5" s="1264" t="s">
        <v>306</v>
      </c>
      <c r="N5" s="1264" t="s">
        <v>306</v>
      </c>
      <c r="O5" s="1264" t="s">
        <v>306</v>
      </c>
      <c r="P5" s="1264" t="s">
        <v>306</v>
      </c>
      <c r="Q5" s="1291" t="s">
        <v>306</v>
      </c>
    </row>
    <row r="6" spans="1:17" ht="29.25" customHeight="1">
      <c r="A6" s="1312"/>
      <c r="B6" s="1313"/>
      <c r="C6" s="1314"/>
      <c r="D6" s="1262" t="s">
        <v>515</v>
      </c>
      <c r="E6" s="1262" t="s">
        <v>516</v>
      </c>
      <c r="F6" s="1262" t="s">
        <v>515</v>
      </c>
      <c r="G6" s="1262" t="s">
        <v>516</v>
      </c>
      <c r="H6" s="1262" t="s">
        <v>515</v>
      </c>
      <c r="I6" s="1262" t="s">
        <v>516</v>
      </c>
      <c r="J6" s="1262" t="s">
        <v>515</v>
      </c>
      <c r="K6" s="1262" t="s">
        <v>516</v>
      </c>
      <c r="L6" s="1262" t="s">
        <v>515</v>
      </c>
      <c r="M6" s="1262" t="s">
        <v>516</v>
      </c>
      <c r="N6" s="1262" t="s">
        <v>515</v>
      </c>
      <c r="O6" s="1262" t="s">
        <v>516</v>
      </c>
      <c r="P6" s="1262" t="s">
        <v>515</v>
      </c>
      <c r="Q6" s="1288" t="s">
        <v>516</v>
      </c>
    </row>
    <row r="7" spans="1:17" s="713" customFormat="1">
      <c r="A7" s="1290" t="s">
        <v>1117</v>
      </c>
      <c r="B7" s="1265" t="s">
        <v>1118</v>
      </c>
      <c r="C7" s="1263"/>
      <c r="D7" s="1262"/>
      <c r="E7" s="1262"/>
      <c r="F7" s="1262"/>
      <c r="G7" s="1262"/>
      <c r="H7" s="1262"/>
      <c r="I7" s="1262"/>
      <c r="J7" s="1262"/>
      <c r="K7" s="1262"/>
      <c r="L7" s="1262"/>
      <c r="M7" s="1262"/>
      <c r="N7" s="1262"/>
      <c r="O7" s="1262"/>
      <c r="P7" s="1262"/>
      <c r="Q7" s="1288"/>
    </row>
    <row r="8" spans="1:17">
      <c r="A8" s="1296">
        <v>1</v>
      </c>
      <c r="B8" s="1273" t="s">
        <v>1164</v>
      </c>
      <c r="C8" s="1263" t="s">
        <v>353</v>
      </c>
      <c r="D8" s="1315">
        <v>443.1280000000001</v>
      </c>
      <c r="E8" s="1316">
        <v>777.72400000000005</v>
      </c>
      <c r="F8" s="1315">
        <v>434.8780000000001</v>
      </c>
      <c r="G8" s="1316">
        <v>733.17400000000009</v>
      </c>
      <c r="H8" s="1315">
        <v>476.36300000000017</v>
      </c>
      <c r="I8" s="1316">
        <v>650.94800000000009</v>
      </c>
      <c r="J8" s="1315">
        <f t="shared" ref="J8:Q8" si="0">H8+H16-H53</f>
        <v>495.22000000000014</v>
      </c>
      <c r="K8" s="1316">
        <f t="shared" si="0"/>
        <v>732.90300000000013</v>
      </c>
      <c r="L8" s="1315">
        <f t="shared" si="0"/>
        <v>461.98500000000013</v>
      </c>
      <c r="M8" s="1316">
        <f t="shared" si="0"/>
        <v>713.04700000000014</v>
      </c>
      <c r="N8" s="1315">
        <f t="shared" si="0"/>
        <v>456.72000000000014</v>
      </c>
      <c r="O8" s="1316">
        <f t="shared" si="0"/>
        <v>788.39900000000011</v>
      </c>
      <c r="P8" s="1315">
        <f t="shared" si="0"/>
        <v>371.62900000000013</v>
      </c>
      <c r="Q8" s="1317">
        <f t="shared" si="0"/>
        <v>726.53800000000012</v>
      </c>
    </row>
    <row r="9" spans="1:17" s="717" customFormat="1">
      <c r="A9" s="1292">
        <v>2</v>
      </c>
      <c r="B9" s="1267" t="s">
        <v>1165</v>
      </c>
      <c r="C9" s="1266" t="s">
        <v>320</v>
      </c>
      <c r="D9" s="1318">
        <v>23985110.785604488</v>
      </c>
      <c r="E9" s="1319">
        <v>34889003.385951988</v>
      </c>
      <c r="F9" s="1318">
        <v>23538564.496538494</v>
      </c>
      <c r="G9" s="1319">
        <v>32890472.929332212</v>
      </c>
      <c r="H9" s="1318">
        <v>27399563.772535279</v>
      </c>
      <c r="I9" s="1319">
        <v>30136487.718968105</v>
      </c>
      <c r="J9" s="1318">
        <f t="shared" ref="J9:Q9" si="1">J8*H37</f>
        <v>29021936.88950501</v>
      </c>
      <c r="K9" s="1319">
        <f t="shared" si="1"/>
        <v>35027528.126813434</v>
      </c>
      <c r="L9" s="1318">
        <f t="shared" si="1"/>
        <v>27074228.653725561</v>
      </c>
      <c r="M9" s="1319">
        <f t="shared" si="1"/>
        <v>34595769.243530981</v>
      </c>
      <c r="N9" s="1318">
        <f t="shared" si="1"/>
        <v>30375503.803663578</v>
      </c>
      <c r="O9" s="1319">
        <f t="shared" si="1"/>
        <v>42313416.098271109</v>
      </c>
      <c r="P9" s="1318">
        <f t="shared" si="1"/>
        <v>24716277.156795613</v>
      </c>
      <c r="Q9" s="1320">
        <f t="shared" si="1"/>
        <v>40270806.29475259</v>
      </c>
    </row>
    <row r="10" spans="1:17" ht="9" customHeight="1">
      <c r="A10" s="1312"/>
      <c r="B10" s="1313"/>
      <c r="C10" s="1313"/>
      <c r="D10" s="1313"/>
      <c r="E10" s="1314"/>
      <c r="F10" s="1313"/>
      <c r="G10" s="1314"/>
      <c r="H10" s="1313"/>
      <c r="I10" s="1314"/>
      <c r="J10" s="1313"/>
      <c r="K10" s="1314"/>
      <c r="L10" s="1313"/>
      <c r="M10" s="1314"/>
      <c r="N10" s="1313"/>
      <c r="O10" s="1314"/>
      <c r="P10" s="1313"/>
      <c r="Q10" s="1321"/>
    </row>
    <row r="11" spans="1:17">
      <c r="A11" s="1290" t="s">
        <v>1121</v>
      </c>
      <c r="B11" s="1265" t="s">
        <v>1122</v>
      </c>
      <c r="C11" s="1263"/>
      <c r="D11" s="1322"/>
      <c r="E11" s="1322"/>
      <c r="F11" s="1322"/>
      <c r="G11" s="1322"/>
      <c r="H11" s="1322"/>
      <c r="I11" s="1322"/>
      <c r="J11" s="1322"/>
      <c r="K11" s="1322"/>
      <c r="L11" s="1322"/>
      <c r="M11" s="1322"/>
      <c r="N11" s="1322"/>
      <c r="O11" s="1322"/>
      <c r="P11" s="1322"/>
      <c r="Q11" s="1323"/>
    </row>
    <row r="12" spans="1:17">
      <c r="A12" s="1296">
        <v>3</v>
      </c>
      <c r="B12" s="1273" t="s">
        <v>352</v>
      </c>
      <c r="C12" s="1263" t="s">
        <v>353</v>
      </c>
      <c r="D12" s="1324">
        <v>0</v>
      </c>
      <c r="E12" s="1324">
        <v>0</v>
      </c>
      <c r="F12" s="1325">
        <v>87</v>
      </c>
      <c r="G12" s="1326">
        <v>83.9</v>
      </c>
      <c r="H12" s="1325">
        <v>29</v>
      </c>
      <c r="I12" s="1325">
        <v>84</v>
      </c>
      <c r="J12" s="1324">
        <v>0</v>
      </c>
      <c r="K12" s="1325">
        <v>21</v>
      </c>
      <c r="L12" s="1324">
        <v>101</v>
      </c>
      <c r="M12" s="1325">
        <v>126</v>
      </c>
      <c r="N12" s="1324">
        <v>0</v>
      </c>
      <c r="O12" s="1325">
        <v>63</v>
      </c>
      <c r="P12" s="1327">
        <v>149.834</v>
      </c>
      <c r="Q12" s="1328">
        <v>142.12</v>
      </c>
    </row>
    <row r="13" spans="1:17">
      <c r="A13" s="1296">
        <v>4</v>
      </c>
      <c r="B13" s="1273" t="s">
        <v>1166</v>
      </c>
      <c r="C13" s="1263" t="s">
        <v>353</v>
      </c>
      <c r="D13" s="1324">
        <v>0</v>
      </c>
      <c r="E13" s="1324">
        <v>0</v>
      </c>
      <c r="F13" s="1324">
        <v>0</v>
      </c>
      <c r="G13" s="1324">
        <v>0</v>
      </c>
      <c r="H13" s="1324">
        <v>0</v>
      </c>
      <c r="I13" s="1324">
        <v>0</v>
      </c>
      <c r="J13" s="1324">
        <v>0</v>
      </c>
      <c r="K13" s="1324">
        <v>0</v>
      </c>
      <c r="L13" s="1324">
        <v>0</v>
      </c>
      <c r="M13" s="1324">
        <v>0</v>
      </c>
      <c r="N13" s="1324">
        <v>0</v>
      </c>
      <c r="O13" s="1324">
        <v>0</v>
      </c>
      <c r="P13" s="1324">
        <v>0</v>
      </c>
      <c r="Q13" s="1329">
        <v>0</v>
      </c>
    </row>
    <row r="14" spans="1:17">
      <c r="A14" s="1296">
        <v>5</v>
      </c>
      <c r="B14" s="1273" t="s">
        <v>1167</v>
      </c>
      <c r="C14" s="1263" t="s">
        <v>353</v>
      </c>
      <c r="D14" s="1324">
        <v>0</v>
      </c>
      <c r="E14" s="1324">
        <v>0</v>
      </c>
      <c r="F14" s="1325">
        <v>87</v>
      </c>
      <c r="G14" s="1325">
        <v>83.9</v>
      </c>
      <c r="H14" s="1325">
        <v>29</v>
      </c>
      <c r="I14" s="1325">
        <v>84</v>
      </c>
      <c r="J14" s="1324">
        <f t="shared" ref="J14" si="2">J12+J13</f>
        <v>0</v>
      </c>
      <c r="K14" s="1325">
        <f>K12+K13</f>
        <v>21</v>
      </c>
      <c r="L14" s="1324">
        <f t="shared" ref="L14:N14" si="3">L12+L13</f>
        <v>101</v>
      </c>
      <c r="M14" s="1325">
        <f>M12+M13</f>
        <v>126</v>
      </c>
      <c r="N14" s="1324">
        <f t="shared" si="3"/>
        <v>0</v>
      </c>
      <c r="O14" s="1325">
        <f>O12+O13</f>
        <v>63</v>
      </c>
      <c r="P14" s="1327">
        <f t="shared" ref="P14" si="4">P12+P13</f>
        <v>149.834</v>
      </c>
      <c r="Q14" s="1328">
        <f>Q12+Q13</f>
        <v>142.12</v>
      </c>
    </row>
    <row r="15" spans="1:17">
      <c r="A15" s="1296">
        <v>6</v>
      </c>
      <c r="B15" s="1273" t="s">
        <v>1168</v>
      </c>
      <c r="C15" s="1263" t="s">
        <v>353</v>
      </c>
      <c r="D15" s="1324">
        <v>0</v>
      </c>
      <c r="E15" s="1324">
        <v>0</v>
      </c>
      <c r="F15" s="1324">
        <v>0</v>
      </c>
      <c r="G15" s="1324">
        <v>0</v>
      </c>
      <c r="H15" s="1324">
        <v>0</v>
      </c>
      <c r="I15" s="1324">
        <v>0</v>
      </c>
      <c r="J15" s="1324">
        <v>0</v>
      </c>
      <c r="K15" s="1324">
        <v>0</v>
      </c>
      <c r="L15" s="1324">
        <v>0</v>
      </c>
      <c r="M15" s="1324">
        <v>0</v>
      </c>
      <c r="N15" s="1324">
        <v>0</v>
      </c>
      <c r="O15" s="1324">
        <v>0</v>
      </c>
      <c r="P15" s="1324">
        <v>0</v>
      </c>
      <c r="Q15" s="1329">
        <v>0</v>
      </c>
    </row>
    <row r="16" spans="1:17">
      <c r="A16" s="1296">
        <v>7</v>
      </c>
      <c r="B16" s="1273" t="s">
        <v>1169</v>
      </c>
      <c r="C16" s="1263" t="s">
        <v>353</v>
      </c>
      <c r="D16" s="1324">
        <v>0</v>
      </c>
      <c r="E16" s="1324">
        <v>0</v>
      </c>
      <c r="F16" s="1325">
        <v>87</v>
      </c>
      <c r="G16" s="1325">
        <v>83.9</v>
      </c>
      <c r="H16" s="1325">
        <v>29</v>
      </c>
      <c r="I16" s="1325">
        <v>84</v>
      </c>
      <c r="J16" s="1324">
        <f t="shared" ref="J16" si="5">J14-J15</f>
        <v>0</v>
      </c>
      <c r="K16" s="1325">
        <f>K14-K15</f>
        <v>21</v>
      </c>
      <c r="L16" s="1324">
        <f t="shared" ref="L16:N16" si="6">L14-L15</f>
        <v>101</v>
      </c>
      <c r="M16" s="1325">
        <f>M14-M15</f>
        <v>126</v>
      </c>
      <c r="N16" s="1324">
        <f t="shared" si="6"/>
        <v>0</v>
      </c>
      <c r="O16" s="1325">
        <f>O14-O15</f>
        <v>63</v>
      </c>
      <c r="P16" s="1327">
        <f t="shared" ref="P16" si="7">P14-P15</f>
        <v>149.834</v>
      </c>
      <c r="Q16" s="1328">
        <f>Q14-Q15</f>
        <v>142.12</v>
      </c>
    </row>
    <row r="17" spans="1:17" ht="9" customHeight="1">
      <c r="A17" s="1312"/>
      <c r="B17" s="1313"/>
      <c r="C17" s="1313"/>
      <c r="D17" s="1313"/>
      <c r="E17" s="1314"/>
      <c r="F17" s="1313"/>
      <c r="G17" s="1314"/>
      <c r="H17" s="1313"/>
      <c r="I17" s="1314"/>
      <c r="J17" s="1313"/>
      <c r="K17" s="1314"/>
      <c r="L17" s="1313"/>
      <c r="M17" s="1314"/>
      <c r="N17" s="1313"/>
      <c r="O17" s="1314"/>
      <c r="P17" s="1313"/>
      <c r="Q17" s="1321"/>
    </row>
    <row r="18" spans="1:17">
      <c r="A18" s="1290" t="s">
        <v>1128</v>
      </c>
      <c r="B18" s="1265" t="s">
        <v>1129</v>
      </c>
      <c r="C18" s="1263"/>
      <c r="D18" s="1322"/>
      <c r="E18" s="1322"/>
      <c r="F18" s="1322"/>
      <c r="G18" s="1322"/>
      <c r="H18" s="1322"/>
      <c r="I18" s="1322"/>
      <c r="J18" s="1322"/>
      <c r="K18" s="1322"/>
      <c r="L18" s="1322"/>
      <c r="M18" s="1322"/>
      <c r="N18" s="1322"/>
      <c r="O18" s="1322"/>
      <c r="P18" s="1322"/>
      <c r="Q18" s="1323"/>
    </row>
    <row r="19" spans="1:17">
      <c r="A19" s="1296">
        <v>8</v>
      </c>
      <c r="B19" s="1273" t="s">
        <v>357</v>
      </c>
      <c r="C19" s="1263" t="s">
        <v>320</v>
      </c>
      <c r="D19" s="1322">
        <v>0</v>
      </c>
      <c r="E19" s="1324">
        <v>0</v>
      </c>
      <c r="F19" s="1322">
        <v>6305377.1999999993</v>
      </c>
      <c r="G19" s="1324">
        <v>4769654.4000000004</v>
      </c>
      <c r="H19" s="1322">
        <v>2158939.7999999998</v>
      </c>
      <c r="I19" s="1324">
        <v>4821196.7999999998</v>
      </c>
      <c r="J19" s="1322">
        <v>0</v>
      </c>
      <c r="K19" s="1324">
        <v>1508606.4</v>
      </c>
      <c r="L19" s="1322">
        <v>10167245.800000001</v>
      </c>
      <c r="M19" s="1324">
        <v>10184557.698000001</v>
      </c>
      <c r="N19" s="1322">
        <v>0</v>
      </c>
      <c r="O19" s="1324">
        <v>4752545.0490000006</v>
      </c>
      <c r="P19" s="1322">
        <v>15133500</v>
      </c>
      <c r="Q19" s="1329">
        <v>9464377.0889999997</v>
      </c>
    </row>
    <row r="20" spans="1:17">
      <c r="A20" s="1296">
        <v>9</v>
      </c>
      <c r="B20" s="1273" t="s">
        <v>358</v>
      </c>
      <c r="C20" s="1263" t="s">
        <v>320</v>
      </c>
      <c r="D20" s="1322">
        <v>0</v>
      </c>
      <c r="E20" s="1322">
        <v>0</v>
      </c>
      <c r="F20" s="1322">
        <v>0</v>
      </c>
      <c r="G20" s="1322">
        <v>0</v>
      </c>
      <c r="H20" s="1322">
        <v>0</v>
      </c>
      <c r="I20" s="1322">
        <v>0</v>
      </c>
      <c r="J20" s="1322">
        <v>0</v>
      </c>
      <c r="K20" s="1322">
        <v>0</v>
      </c>
      <c r="L20" s="1322">
        <v>0</v>
      </c>
      <c r="M20" s="1322">
        <v>0</v>
      </c>
      <c r="N20" s="1322">
        <v>0</v>
      </c>
      <c r="O20" s="1322">
        <v>0</v>
      </c>
      <c r="P20" s="1322">
        <v>0</v>
      </c>
      <c r="Q20" s="1323">
        <v>0</v>
      </c>
    </row>
    <row r="21" spans="1:17">
      <c r="A21" s="1296">
        <v>10</v>
      </c>
      <c r="B21" s="1273" t="s">
        <v>1132</v>
      </c>
      <c r="C21" s="1263" t="s">
        <v>320</v>
      </c>
      <c r="D21" s="1322">
        <v>0</v>
      </c>
      <c r="E21" s="1322">
        <v>0</v>
      </c>
      <c r="F21" s="1322">
        <v>0</v>
      </c>
      <c r="G21" s="1322">
        <v>0</v>
      </c>
      <c r="H21" s="1322">
        <v>0</v>
      </c>
      <c r="I21" s="1322">
        <v>0</v>
      </c>
      <c r="J21" s="1322">
        <v>0</v>
      </c>
      <c r="K21" s="1322">
        <v>0</v>
      </c>
      <c r="L21" s="1322">
        <v>0</v>
      </c>
      <c r="M21" s="1322">
        <v>0</v>
      </c>
      <c r="N21" s="1322">
        <v>0</v>
      </c>
      <c r="O21" s="1322">
        <v>0</v>
      </c>
      <c r="P21" s="1322">
        <v>0</v>
      </c>
      <c r="Q21" s="1323">
        <v>0</v>
      </c>
    </row>
    <row r="22" spans="1:17">
      <c r="A22" s="1296">
        <v>11</v>
      </c>
      <c r="B22" s="1273" t="s">
        <v>1133</v>
      </c>
      <c r="C22" s="1263" t="s">
        <v>320</v>
      </c>
      <c r="D22" s="1322">
        <v>0</v>
      </c>
      <c r="E22" s="1324">
        <v>0</v>
      </c>
      <c r="F22" s="1322">
        <v>6305377.1999999993</v>
      </c>
      <c r="G22" s="1324">
        <v>4769654.4000000004</v>
      </c>
      <c r="H22" s="1322">
        <v>2158939.7999999998</v>
      </c>
      <c r="I22" s="1324">
        <v>4821196.7999999998</v>
      </c>
      <c r="J22" s="1322">
        <f t="shared" ref="J22" si="8">J19+J20+J21</f>
        <v>0</v>
      </c>
      <c r="K22" s="1324">
        <f>K19+K20+K21</f>
        <v>1508606.4</v>
      </c>
      <c r="L22" s="1322">
        <f t="shared" ref="L22:N22" si="9">L19+L20+L21</f>
        <v>10167245.800000001</v>
      </c>
      <c r="M22" s="1324">
        <f>M19+M20+M21</f>
        <v>10184557.698000001</v>
      </c>
      <c r="N22" s="1322">
        <f t="shared" si="9"/>
        <v>0</v>
      </c>
      <c r="O22" s="1324">
        <f>O19+O20+O21</f>
        <v>4752545.0490000006</v>
      </c>
      <c r="P22" s="1322">
        <f t="shared" ref="P22" si="10">P19+P20+P21</f>
        <v>15133500</v>
      </c>
      <c r="Q22" s="1329">
        <f>Q19+Q20+Q21</f>
        <v>9464377.0889999997</v>
      </c>
    </row>
    <row r="23" spans="1:17" ht="9" customHeight="1">
      <c r="A23" s="1312"/>
      <c r="B23" s="1313"/>
      <c r="C23" s="1313"/>
      <c r="D23" s="1313"/>
      <c r="E23" s="1314"/>
      <c r="F23" s="1313"/>
      <c r="G23" s="1314"/>
      <c r="H23" s="1313"/>
      <c r="I23" s="1314"/>
      <c r="J23" s="1313"/>
      <c r="K23" s="1314"/>
      <c r="L23" s="1313"/>
      <c r="M23" s="1314"/>
      <c r="N23" s="1313"/>
      <c r="O23" s="1314"/>
      <c r="P23" s="1313"/>
      <c r="Q23" s="1321"/>
    </row>
    <row r="24" spans="1:17">
      <c r="A24" s="1290" t="s">
        <v>1134</v>
      </c>
      <c r="B24" s="1265" t="s">
        <v>1135</v>
      </c>
      <c r="C24" s="1263"/>
      <c r="D24" s="1322"/>
      <c r="E24" s="1322"/>
      <c r="F24" s="1322"/>
      <c r="G24" s="1322"/>
      <c r="H24" s="1322"/>
      <c r="I24" s="1322"/>
      <c r="J24" s="1322"/>
      <c r="K24" s="1322"/>
      <c r="L24" s="1322"/>
      <c r="M24" s="1322"/>
      <c r="N24" s="1322"/>
      <c r="O24" s="1322"/>
      <c r="P24" s="1322"/>
      <c r="Q24" s="1323"/>
    </row>
    <row r="25" spans="1:17">
      <c r="A25" s="1296">
        <v>12</v>
      </c>
      <c r="B25" s="1273" t="s">
        <v>323</v>
      </c>
      <c r="C25" s="1263" t="s">
        <v>320</v>
      </c>
      <c r="D25" s="1322">
        <v>0</v>
      </c>
      <c r="E25" s="1322">
        <v>0</v>
      </c>
      <c r="F25" s="1322">
        <v>173565</v>
      </c>
      <c r="G25" s="1322">
        <v>167380.5</v>
      </c>
      <c r="H25" s="1322">
        <v>57855</v>
      </c>
      <c r="I25" s="1322">
        <v>167580</v>
      </c>
      <c r="J25" s="1322">
        <f t="shared" ref="J25:Q25" si="11">J26+J27+J28</f>
        <v>0</v>
      </c>
      <c r="K25" s="1322">
        <f t="shared" si="11"/>
        <v>41895</v>
      </c>
      <c r="L25" s="1322">
        <f t="shared" si="11"/>
        <v>201495</v>
      </c>
      <c r="M25" s="1322">
        <f t="shared" si="11"/>
        <v>251370</v>
      </c>
      <c r="N25" s="1322">
        <f t="shared" si="11"/>
        <v>0</v>
      </c>
      <c r="O25" s="1322">
        <f t="shared" si="11"/>
        <v>125685</v>
      </c>
      <c r="P25" s="1322">
        <f t="shared" si="11"/>
        <v>298918.83</v>
      </c>
      <c r="Q25" s="1329">
        <f t="shared" si="11"/>
        <v>283529.40000000002</v>
      </c>
    </row>
    <row r="26" spans="1:17">
      <c r="A26" s="1296"/>
      <c r="B26" s="1280" t="s">
        <v>1136</v>
      </c>
      <c r="C26" s="1263"/>
      <c r="D26" s="1322">
        <v>0</v>
      </c>
      <c r="E26" s="1322">
        <v>0</v>
      </c>
      <c r="F26" s="1322">
        <v>0</v>
      </c>
      <c r="G26" s="1322">
        <v>0</v>
      </c>
      <c r="H26" s="1322">
        <v>0</v>
      </c>
      <c r="I26" s="1322">
        <v>0</v>
      </c>
      <c r="J26" s="1322">
        <v>0</v>
      </c>
      <c r="K26" s="1322">
        <v>0</v>
      </c>
      <c r="L26" s="1322">
        <v>0</v>
      </c>
      <c r="M26" s="1322">
        <v>0</v>
      </c>
      <c r="N26" s="1322">
        <v>0</v>
      </c>
      <c r="O26" s="1322">
        <v>0</v>
      </c>
      <c r="P26" s="1322">
        <v>0</v>
      </c>
      <c r="Q26" s="1323">
        <v>0</v>
      </c>
    </row>
    <row r="27" spans="1:17">
      <c r="A27" s="1296"/>
      <c r="B27" s="1280" t="s">
        <v>1137</v>
      </c>
      <c r="C27" s="1263"/>
      <c r="D27" s="1322">
        <v>0</v>
      </c>
      <c r="E27" s="1322">
        <v>0</v>
      </c>
      <c r="F27" s="1322">
        <v>173565</v>
      </c>
      <c r="G27" s="1322">
        <v>167380.5</v>
      </c>
      <c r="H27" s="1322">
        <v>57855</v>
      </c>
      <c r="I27" s="1322">
        <v>167580</v>
      </c>
      <c r="J27" s="1322">
        <v>0</v>
      </c>
      <c r="K27" s="1322">
        <v>41895</v>
      </c>
      <c r="L27" s="1322">
        <v>201495</v>
      </c>
      <c r="M27" s="1322">
        <v>251370</v>
      </c>
      <c r="N27" s="1322">
        <v>0</v>
      </c>
      <c r="O27" s="1322">
        <v>125685</v>
      </c>
      <c r="P27" s="1322">
        <v>298918.83</v>
      </c>
      <c r="Q27" s="1329">
        <v>283529.40000000002</v>
      </c>
    </row>
    <row r="28" spans="1:17">
      <c r="A28" s="1296"/>
      <c r="B28" s="1280" t="s">
        <v>1170</v>
      </c>
      <c r="C28" s="1263"/>
      <c r="D28" s="1322">
        <v>0</v>
      </c>
      <c r="E28" s="1322">
        <v>0</v>
      </c>
      <c r="F28" s="1322">
        <v>0</v>
      </c>
      <c r="G28" s="1322">
        <v>0</v>
      </c>
      <c r="H28" s="1322">
        <v>0</v>
      </c>
      <c r="I28" s="1322">
        <v>0</v>
      </c>
      <c r="J28" s="1322">
        <v>0</v>
      </c>
      <c r="K28" s="1322">
        <v>0</v>
      </c>
      <c r="L28" s="1322">
        <v>0</v>
      </c>
      <c r="M28" s="1322">
        <v>0</v>
      </c>
      <c r="N28" s="1322">
        <v>0</v>
      </c>
      <c r="O28" s="1322">
        <v>0</v>
      </c>
      <c r="P28" s="1322">
        <v>0</v>
      </c>
      <c r="Q28" s="1323">
        <v>0</v>
      </c>
    </row>
    <row r="29" spans="1:17">
      <c r="A29" s="1296"/>
      <c r="B29" s="1280" t="s">
        <v>1171</v>
      </c>
      <c r="C29" s="1263"/>
      <c r="D29" s="1322"/>
      <c r="E29" s="1322"/>
      <c r="F29" s="1322"/>
      <c r="G29" s="1322"/>
      <c r="H29" s="1322"/>
      <c r="I29" s="1322"/>
      <c r="J29" s="1322"/>
      <c r="K29" s="1322"/>
      <c r="L29" s="1322"/>
      <c r="M29" s="1322"/>
      <c r="N29" s="1322"/>
      <c r="O29" s="1322"/>
      <c r="P29" s="1322"/>
      <c r="Q29" s="1323"/>
    </row>
    <row r="30" spans="1:17">
      <c r="A30" s="1296">
        <v>13</v>
      </c>
      <c r="B30" s="1273" t="s">
        <v>325</v>
      </c>
      <c r="C30" s="1263" t="s">
        <v>320</v>
      </c>
      <c r="D30" s="1322">
        <v>0</v>
      </c>
      <c r="E30" s="1322">
        <v>0</v>
      </c>
      <c r="F30" s="1322">
        <v>0</v>
      </c>
      <c r="G30" s="1322">
        <v>0</v>
      </c>
      <c r="H30" s="1322">
        <v>0</v>
      </c>
      <c r="I30" s="1322">
        <v>0</v>
      </c>
      <c r="J30" s="1322">
        <v>0</v>
      </c>
      <c r="K30" s="1322">
        <v>0</v>
      </c>
      <c r="L30" s="1322">
        <v>0</v>
      </c>
      <c r="M30" s="1322">
        <v>0</v>
      </c>
      <c r="N30" s="1322">
        <v>0</v>
      </c>
      <c r="O30" s="1322">
        <v>0</v>
      </c>
      <c r="P30" s="1322">
        <v>0</v>
      </c>
      <c r="Q30" s="1323">
        <v>0</v>
      </c>
    </row>
    <row r="31" spans="1:17">
      <c r="A31" s="1296">
        <v>14</v>
      </c>
      <c r="B31" s="1273" t="s">
        <v>326</v>
      </c>
      <c r="C31" s="1263" t="s">
        <v>320</v>
      </c>
      <c r="D31" s="1322">
        <v>0</v>
      </c>
      <c r="E31" s="1322">
        <v>0</v>
      </c>
      <c r="F31" s="1322">
        <v>0</v>
      </c>
      <c r="G31" s="1322">
        <v>0</v>
      </c>
      <c r="H31" s="1322">
        <v>0</v>
      </c>
      <c r="I31" s="1322">
        <v>0</v>
      </c>
      <c r="J31" s="1322">
        <v>0</v>
      </c>
      <c r="K31" s="1322">
        <v>0</v>
      </c>
      <c r="L31" s="1322">
        <v>0</v>
      </c>
      <c r="M31" s="1322">
        <v>0</v>
      </c>
      <c r="N31" s="1322">
        <v>0</v>
      </c>
      <c r="O31" s="1322">
        <v>0</v>
      </c>
      <c r="P31" s="1322">
        <v>0</v>
      </c>
      <c r="Q31" s="1323">
        <v>0</v>
      </c>
    </row>
    <row r="32" spans="1:17" ht="30" customHeight="1">
      <c r="A32" s="1296">
        <v>15</v>
      </c>
      <c r="B32" s="1273" t="s">
        <v>1138</v>
      </c>
      <c r="C32" s="1263"/>
      <c r="D32" s="1322"/>
      <c r="E32" s="1322"/>
      <c r="F32" s="1322"/>
      <c r="G32" s="1322"/>
      <c r="H32" s="1322"/>
      <c r="I32" s="1322"/>
      <c r="J32" s="1322"/>
      <c r="K32" s="1322"/>
      <c r="L32" s="1322"/>
      <c r="M32" s="1322"/>
      <c r="N32" s="1322"/>
      <c r="O32" s="1322"/>
      <c r="P32" s="1322"/>
      <c r="Q32" s="1323"/>
    </row>
    <row r="33" spans="1:17">
      <c r="A33" s="1296">
        <v>16</v>
      </c>
      <c r="B33" s="1273" t="s">
        <v>1139</v>
      </c>
      <c r="C33" s="1263" t="s">
        <v>320</v>
      </c>
      <c r="D33" s="1322">
        <v>0</v>
      </c>
      <c r="E33" s="1322">
        <v>0</v>
      </c>
      <c r="F33" s="1322">
        <v>173565</v>
      </c>
      <c r="G33" s="1322">
        <v>167380.5</v>
      </c>
      <c r="H33" s="1322">
        <v>57855</v>
      </c>
      <c r="I33" s="1322">
        <v>167580</v>
      </c>
      <c r="J33" s="1322">
        <f t="shared" ref="J33" si="12">J25+J30-J31</f>
        <v>0</v>
      </c>
      <c r="K33" s="1322">
        <f>K25+K30-K31</f>
        <v>41895</v>
      </c>
      <c r="L33" s="1322">
        <f t="shared" ref="L33:N33" si="13">L25+L30-L31</f>
        <v>201495</v>
      </c>
      <c r="M33" s="1322">
        <f>M25+M30-M31</f>
        <v>251370</v>
      </c>
      <c r="N33" s="1322">
        <f t="shared" si="13"/>
        <v>0</v>
      </c>
      <c r="O33" s="1322">
        <f>O25+O30-O31</f>
        <v>125685</v>
      </c>
      <c r="P33" s="1322">
        <f t="shared" ref="P33" si="14">P25+P30-P31</f>
        <v>298918.83</v>
      </c>
      <c r="Q33" s="1329">
        <f>Q25+Q30-Q31</f>
        <v>283529.40000000002</v>
      </c>
    </row>
    <row r="34" spans="1:17">
      <c r="A34" s="1296">
        <v>17</v>
      </c>
      <c r="B34" s="1273" t="s">
        <v>1172</v>
      </c>
      <c r="C34" s="1263" t="s">
        <v>320</v>
      </c>
      <c r="D34" s="1263">
        <v>0</v>
      </c>
      <c r="E34" s="1330">
        <v>0</v>
      </c>
      <c r="F34" s="1263">
        <v>6478942.1999999993</v>
      </c>
      <c r="G34" s="1330">
        <v>4937034.9000000004</v>
      </c>
      <c r="H34" s="1263">
        <v>2216794.7999999998</v>
      </c>
      <c r="I34" s="1330">
        <v>4988776.8</v>
      </c>
      <c r="J34" s="1263">
        <f t="shared" ref="J34:Q34" si="15">J22+J33</f>
        <v>0</v>
      </c>
      <c r="K34" s="1330">
        <f t="shared" si="15"/>
        <v>1550501.4</v>
      </c>
      <c r="L34" s="1263">
        <f t="shared" si="15"/>
        <v>10368740.800000001</v>
      </c>
      <c r="M34" s="1330">
        <f t="shared" si="15"/>
        <v>10435927.698000001</v>
      </c>
      <c r="N34" s="1263">
        <f t="shared" si="15"/>
        <v>0</v>
      </c>
      <c r="O34" s="1330">
        <f t="shared" si="15"/>
        <v>4878230.0490000006</v>
      </c>
      <c r="P34" s="1263">
        <f t="shared" si="15"/>
        <v>15432418.83</v>
      </c>
      <c r="Q34" s="1331">
        <f t="shared" si="15"/>
        <v>9747906.4890000001</v>
      </c>
    </row>
    <row r="35" spans="1:17" ht="9" customHeight="1">
      <c r="A35" s="2037"/>
      <c r="B35" s="2038"/>
      <c r="C35" s="2038"/>
      <c r="D35" s="1322"/>
      <c r="E35" s="1322"/>
      <c r="F35" s="1322"/>
      <c r="G35" s="1322"/>
      <c r="H35" s="1322"/>
      <c r="I35" s="1322"/>
      <c r="J35" s="1322"/>
      <c r="K35" s="1322"/>
      <c r="L35" s="1322"/>
      <c r="M35" s="1322"/>
      <c r="N35" s="1322"/>
      <c r="O35" s="1322"/>
      <c r="P35" s="1322"/>
      <c r="Q35" s="1323"/>
    </row>
    <row r="36" spans="1:17">
      <c r="A36" s="1290" t="s">
        <v>1141</v>
      </c>
      <c r="B36" s="1265" t="s">
        <v>1142</v>
      </c>
      <c r="C36" s="1263"/>
      <c r="D36" s="1332"/>
      <c r="E36" s="1322"/>
      <c r="F36" s="1332"/>
      <c r="G36" s="1322"/>
      <c r="H36" s="1332"/>
      <c r="I36" s="1322"/>
      <c r="J36" s="1332"/>
      <c r="K36" s="1322"/>
      <c r="L36" s="1332"/>
      <c r="M36" s="1322"/>
      <c r="N36" s="1332"/>
      <c r="O36" s="1322"/>
      <c r="P36" s="1332"/>
      <c r="Q36" s="1323"/>
    </row>
    <row r="37" spans="1:17">
      <c r="A37" s="1296">
        <v>18</v>
      </c>
      <c r="B37" s="1273" t="s">
        <v>1173</v>
      </c>
      <c r="C37" s="1263" t="s">
        <v>362</v>
      </c>
      <c r="D37" s="1324">
        <v>0</v>
      </c>
      <c r="E37" s="1324">
        <v>0</v>
      </c>
      <c r="F37" s="1325">
        <v>57518.245062138056</v>
      </c>
      <c r="G37" s="1333">
        <v>46296.305878454346</v>
      </c>
      <c r="H37" s="1325">
        <v>58604.129254684791</v>
      </c>
      <c r="I37" s="1333">
        <v>47792.856799349203</v>
      </c>
      <c r="J37" s="1325">
        <f t="shared" ref="J37:Q37" si="16">(J9+J34)/(J8+J16)</f>
        <v>58604.129254684791</v>
      </c>
      <c r="K37" s="1333">
        <f t="shared" si="16"/>
        <v>48518.217233269301</v>
      </c>
      <c r="L37" s="1325">
        <f t="shared" si="16"/>
        <v>66507.934409843161</v>
      </c>
      <c r="M37" s="1333">
        <f t="shared" si="16"/>
        <v>53670.052978594729</v>
      </c>
      <c r="N37" s="1325">
        <f t="shared" si="16"/>
        <v>66507.934409843161</v>
      </c>
      <c r="O37" s="1333">
        <f t="shared" si="16"/>
        <v>55428.355151076175</v>
      </c>
      <c r="P37" s="1325">
        <f t="shared" si="16"/>
        <v>76992.415543951531</v>
      </c>
      <c r="Q37" s="1334">
        <f t="shared" si="16"/>
        <v>57581.594578939679</v>
      </c>
    </row>
    <row r="38" spans="1:17">
      <c r="A38" s="1296">
        <v>19</v>
      </c>
      <c r="B38" s="1273" t="s">
        <v>332</v>
      </c>
      <c r="C38" s="1263"/>
      <c r="D38" s="1322"/>
      <c r="E38" s="1322"/>
      <c r="F38" s="1322"/>
      <c r="G38" s="1322"/>
      <c r="H38" s="1322"/>
      <c r="I38" s="1322"/>
      <c r="J38" s="1322"/>
      <c r="K38" s="1322"/>
      <c r="L38" s="1322"/>
      <c r="M38" s="1322"/>
      <c r="N38" s="1322"/>
      <c r="O38" s="1322"/>
      <c r="P38" s="1322"/>
      <c r="Q38" s="1323"/>
    </row>
    <row r="39" spans="1:17">
      <c r="A39" s="1296">
        <v>20</v>
      </c>
      <c r="B39" s="1273" t="s">
        <v>363</v>
      </c>
      <c r="C39" s="1263" t="s">
        <v>362</v>
      </c>
      <c r="D39" s="1322"/>
      <c r="E39" s="1322"/>
      <c r="F39" s="1322"/>
      <c r="G39" s="1322"/>
      <c r="H39" s="1322"/>
      <c r="I39" s="1322"/>
      <c r="J39" s="1322"/>
      <c r="K39" s="1322"/>
      <c r="L39" s="1322"/>
      <c r="M39" s="1322"/>
      <c r="N39" s="1322"/>
      <c r="O39" s="1322"/>
      <c r="P39" s="1322"/>
      <c r="Q39" s="1323"/>
    </row>
    <row r="40" spans="1:17" ht="9" customHeight="1">
      <c r="A40" s="1312"/>
      <c r="B40" s="1313"/>
      <c r="C40" s="1313"/>
      <c r="D40" s="1313"/>
      <c r="E40" s="1314"/>
      <c r="F40" s="1313"/>
      <c r="G40" s="1314"/>
      <c r="H40" s="1313"/>
      <c r="I40" s="1314"/>
      <c r="J40" s="1313"/>
      <c r="K40" s="1314"/>
      <c r="L40" s="1313"/>
      <c r="M40" s="1314"/>
      <c r="N40" s="1313"/>
      <c r="O40" s="1314"/>
      <c r="P40" s="1313"/>
      <c r="Q40" s="1321"/>
    </row>
    <row r="41" spans="1:17">
      <c r="A41" s="1290" t="s">
        <v>1146</v>
      </c>
      <c r="B41" s="1265" t="s">
        <v>1147</v>
      </c>
      <c r="C41" s="1263"/>
      <c r="D41" s="1322"/>
      <c r="E41" s="1322"/>
      <c r="F41" s="1322"/>
      <c r="G41" s="1322"/>
      <c r="H41" s="1322"/>
      <c r="I41" s="1322"/>
      <c r="J41" s="1322"/>
      <c r="K41" s="1322"/>
      <c r="L41" s="1322"/>
      <c r="M41" s="1322"/>
      <c r="N41" s="1322"/>
      <c r="O41" s="1322"/>
      <c r="P41" s="1322"/>
      <c r="Q41" s="1323"/>
    </row>
    <row r="42" spans="1:17">
      <c r="A42" s="1296">
        <v>21</v>
      </c>
      <c r="B42" s="1273" t="s">
        <v>1174</v>
      </c>
      <c r="C42" s="1263" t="s">
        <v>1175</v>
      </c>
      <c r="D42" s="1322">
        <v>10080</v>
      </c>
      <c r="E42" s="1322">
        <v>9950</v>
      </c>
      <c r="F42" s="1322">
        <v>10080</v>
      </c>
      <c r="G42" s="1322">
        <v>9950</v>
      </c>
      <c r="H42" s="1322">
        <v>10080</v>
      </c>
      <c r="I42" s="1322">
        <v>9950</v>
      </c>
      <c r="J42" s="1322">
        <v>10080</v>
      </c>
      <c r="K42" s="1322">
        <v>9950</v>
      </c>
      <c r="L42" s="1322">
        <v>10080</v>
      </c>
      <c r="M42" s="1322">
        <v>9950</v>
      </c>
      <c r="N42" s="1322">
        <v>10080</v>
      </c>
      <c r="O42" s="1322">
        <v>9950</v>
      </c>
      <c r="P42" s="1322">
        <v>10080</v>
      </c>
      <c r="Q42" s="1323">
        <v>9950</v>
      </c>
    </row>
    <row r="43" spans="1:17">
      <c r="A43" s="1296">
        <v>22</v>
      </c>
      <c r="B43" s="1273" t="s">
        <v>1176</v>
      </c>
      <c r="C43" s="1263"/>
      <c r="D43" s="1322"/>
      <c r="E43" s="1322"/>
      <c r="F43" s="1322"/>
      <c r="G43" s="1322"/>
      <c r="H43" s="1322"/>
      <c r="I43" s="1322"/>
      <c r="J43" s="1322"/>
      <c r="K43" s="1322"/>
      <c r="L43" s="1322"/>
      <c r="M43" s="1322"/>
      <c r="N43" s="1322"/>
      <c r="O43" s="1322"/>
      <c r="P43" s="1322"/>
      <c r="Q43" s="1323"/>
    </row>
    <row r="44" spans="1:17" s="717" customFormat="1">
      <c r="A44" s="1296">
        <v>23</v>
      </c>
      <c r="B44" s="1267" t="s">
        <v>1177</v>
      </c>
      <c r="C44" s="1266"/>
      <c r="D44" s="1335"/>
      <c r="E44" s="1335"/>
      <c r="F44" s="1335"/>
      <c r="G44" s="1335"/>
      <c r="H44" s="1335"/>
      <c r="I44" s="1335"/>
      <c r="J44" s="1335"/>
      <c r="K44" s="1335"/>
      <c r="L44" s="1335"/>
      <c r="M44" s="1335"/>
      <c r="N44" s="1335"/>
      <c r="O44" s="1335"/>
      <c r="P44" s="1335"/>
      <c r="Q44" s="1336"/>
    </row>
    <row r="45" spans="1:17">
      <c r="A45" s="1296">
        <v>24</v>
      </c>
      <c r="B45" s="1273" t="s">
        <v>1178</v>
      </c>
      <c r="C45" s="1263"/>
      <c r="D45" s="1322"/>
      <c r="E45" s="1322"/>
      <c r="F45" s="1322"/>
      <c r="G45" s="1322"/>
      <c r="H45" s="1322"/>
      <c r="I45" s="1322"/>
      <c r="J45" s="1322"/>
      <c r="K45" s="1322"/>
      <c r="L45" s="1322"/>
      <c r="M45" s="1322"/>
      <c r="N45" s="1322"/>
      <c r="O45" s="1322"/>
      <c r="P45" s="1322"/>
      <c r="Q45" s="1323"/>
    </row>
    <row r="46" spans="1:17">
      <c r="A46" s="1296">
        <v>25</v>
      </c>
      <c r="B46" s="1273" t="s">
        <v>368</v>
      </c>
      <c r="C46" s="1263" t="s">
        <v>1175</v>
      </c>
      <c r="D46" s="1322">
        <v>10080</v>
      </c>
      <c r="E46" s="1322">
        <v>9950</v>
      </c>
      <c r="F46" s="1322">
        <v>10080</v>
      </c>
      <c r="G46" s="1322">
        <v>9950</v>
      </c>
      <c r="H46" s="1322">
        <v>10080</v>
      </c>
      <c r="I46" s="1322">
        <v>9950</v>
      </c>
      <c r="J46" s="1322">
        <f>(J8*J42+J16*J42)/(J8+J16)</f>
        <v>10080</v>
      </c>
      <c r="K46" s="1322">
        <v>9950</v>
      </c>
      <c r="L46" s="1322">
        <f t="shared" ref="L46:Q46" si="17">(L8*L42+L16*L42)/(L8+L16)</f>
        <v>10080</v>
      </c>
      <c r="M46" s="1322">
        <f t="shared" si="17"/>
        <v>9950</v>
      </c>
      <c r="N46" s="1322">
        <f t="shared" si="17"/>
        <v>10080</v>
      </c>
      <c r="O46" s="1322">
        <f t="shared" si="17"/>
        <v>9950</v>
      </c>
      <c r="P46" s="1322">
        <f t="shared" si="17"/>
        <v>10079.999999999998</v>
      </c>
      <c r="Q46" s="1323">
        <f t="shared" si="17"/>
        <v>9950</v>
      </c>
    </row>
    <row r="47" spans="1:17">
      <c r="A47" s="1296">
        <v>26</v>
      </c>
      <c r="B47" s="1267" t="s">
        <v>1179</v>
      </c>
      <c r="C47" s="1263"/>
      <c r="D47" s="1322"/>
      <c r="E47" s="1322"/>
      <c r="F47" s="1322"/>
      <c r="G47" s="1322"/>
      <c r="H47" s="1322"/>
      <c r="I47" s="1322"/>
      <c r="J47" s="1322"/>
      <c r="K47" s="1322"/>
      <c r="L47" s="1322"/>
      <c r="M47" s="1322"/>
      <c r="N47" s="1322"/>
      <c r="O47" s="1322"/>
      <c r="P47" s="1322"/>
      <c r="Q47" s="1323"/>
    </row>
    <row r="48" spans="1:17" s="717" customFormat="1">
      <c r="A48" s="1296">
        <v>27</v>
      </c>
      <c r="B48" s="1273" t="s">
        <v>1180</v>
      </c>
      <c r="C48" s="1266"/>
      <c r="D48" s="1335"/>
      <c r="E48" s="1335"/>
      <c r="F48" s="1335"/>
      <c r="G48" s="1335"/>
      <c r="H48" s="1335"/>
      <c r="I48" s="1335"/>
      <c r="J48" s="1335"/>
      <c r="K48" s="1335"/>
      <c r="L48" s="1335"/>
      <c r="M48" s="1335"/>
      <c r="N48" s="1335"/>
      <c r="O48" s="1335"/>
      <c r="P48" s="1335"/>
      <c r="Q48" s="1336"/>
    </row>
    <row r="49" spans="1:17">
      <c r="A49" s="1296">
        <v>28</v>
      </c>
      <c r="B49" s="1273" t="s">
        <v>1181</v>
      </c>
      <c r="C49" s="1263"/>
      <c r="D49" s="1322"/>
      <c r="E49" s="1322"/>
      <c r="F49" s="1322"/>
      <c r="G49" s="1322"/>
      <c r="H49" s="1322"/>
      <c r="I49" s="1322"/>
      <c r="J49" s="1322"/>
      <c r="K49" s="1322"/>
      <c r="L49" s="1322"/>
      <c r="M49" s="1322"/>
      <c r="N49" s="1322"/>
      <c r="O49" s="1322"/>
      <c r="P49" s="1322"/>
      <c r="Q49" s="1323"/>
    </row>
    <row r="50" spans="1:17">
      <c r="A50" s="1296">
        <v>29</v>
      </c>
      <c r="B50" s="1273" t="s">
        <v>1182</v>
      </c>
      <c r="C50" s="1263"/>
      <c r="D50" s="1322"/>
      <c r="E50" s="1322"/>
      <c r="F50" s="1322"/>
      <c r="G50" s="1322"/>
      <c r="H50" s="1322"/>
      <c r="I50" s="1322"/>
      <c r="J50" s="1322"/>
      <c r="K50" s="1322"/>
      <c r="L50" s="1322"/>
      <c r="M50" s="1322"/>
      <c r="N50" s="1322"/>
      <c r="O50" s="1322"/>
      <c r="P50" s="1322"/>
      <c r="Q50" s="1323"/>
    </row>
    <row r="51" spans="1:17" s="715" customFormat="1" ht="54.75" customHeight="1">
      <c r="A51" s="1296">
        <v>30</v>
      </c>
      <c r="B51" s="1267" t="s">
        <v>1183</v>
      </c>
      <c r="C51" s="1263" t="s">
        <v>1175</v>
      </c>
      <c r="D51" s="1322">
        <v>10080</v>
      </c>
      <c r="E51" s="1322">
        <v>9950</v>
      </c>
      <c r="F51" s="1322">
        <v>10080</v>
      </c>
      <c r="G51" s="1322">
        <v>9950</v>
      </c>
      <c r="H51" s="1322">
        <v>10080</v>
      </c>
      <c r="I51" s="1322">
        <v>9950</v>
      </c>
      <c r="J51" s="1322">
        <f t="shared" ref="J51:L51" si="18">+J46</f>
        <v>10080</v>
      </c>
      <c r="K51" s="1322">
        <f>+K46</f>
        <v>9950</v>
      </c>
      <c r="L51" s="1322">
        <f t="shared" si="18"/>
        <v>10080</v>
      </c>
      <c r="M51" s="1322">
        <f>+M46</f>
        <v>9950</v>
      </c>
      <c r="N51" s="1322">
        <f t="shared" ref="N51:P51" si="19">+N46</f>
        <v>10080</v>
      </c>
      <c r="O51" s="1322">
        <f>+O46</f>
        <v>9950</v>
      </c>
      <c r="P51" s="1322">
        <f t="shared" si="19"/>
        <v>10079.999999999998</v>
      </c>
      <c r="Q51" s="1323">
        <f>+Q46</f>
        <v>9950</v>
      </c>
    </row>
    <row r="52" spans="1:17">
      <c r="A52" s="1301"/>
      <c r="B52" s="1302"/>
      <c r="C52" s="1259"/>
      <c r="D52" s="1332"/>
      <c r="E52" s="1332"/>
      <c r="F52" s="1332"/>
      <c r="G52" s="1332"/>
      <c r="H52" s="1332"/>
      <c r="I52" s="1332"/>
      <c r="J52" s="1332"/>
      <c r="K52" s="1332"/>
      <c r="L52" s="1332"/>
      <c r="M52" s="1332"/>
      <c r="N52" s="1332"/>
      <c r="O52" s="1332"/>
      <c r="P52" s="1332"/>
      <c r="Q52" s="1337"/>
    </row>
    <row r="53" spans="1:17" s="715" customFormat="1">
      <c r="A53" s="1296">
        <v>32</v>
      </c>
      <c r="B53" s="1267" t="s">
        <v>1184</v>
      </c>
      <c r="C53" s="1263" t="s">
        <v>1185</v>
      </c>
      <c r="D53" s="1338">
        <v>8.25</v>
      </c>
      <c r="E53" s="1338">
        <v>44.55</v>
      </c>
      <c r="F53" s="1339">
        <v>45.515000000000001</v>
      </c>
      <c r="G53" s="1339">
        <v>166.126</v>
      </c>
      <c r="H53" s="1339">
        <v>10.143000000000001</v>
      </c>
      <c r="I53" s="1339">
        <v>2.0449999999999999</v>
      </c>
      <c r="J53" s="1339">
        <v>33.234999999999999</v>
      </c>
      <c r="K53" s="1339">
        <v>40.856000000000002</v>
      </c>
      <c r="L53" s="1339">
        <v>106.265</v>
      </c>
      <c r="M53" s="1339">
        <v>50.648000000000003</v>
      </c>
      <c r="N53" s="1339">
        <v>85.090999999999994</v>
      </c>
      <c r="O53" s="1339">
        <v>124.861</v>
      </c>
      <c r="P53" s="1339">
        <v>63.643000000000001</v>
      </c>
      <c r="Q53" s="1340">
        <v>129.39099999999999</v>
      </c>
    </row>
    <row r="54" spans="1:17" s="715" customFormat="1">
      <c r="A54" s="1301"/>
      <c r="B54" s="1341"/>
      <c r="C54" s="1259"/>
      <c r="D54" s="1342"/>
      <c r="E54" s="1342"/>
      <c r="F54" s="1342"/>
      <c r="G54" s="1342"/>
      <c r="H54" s="1342"/>
      <c r="I54" s="1342"/>
      <c r="J54" s="1342"/>
      <c r="K54" s="1342"/>
      <c r="L54" s="1342"/>
      <c r="M54" s="1342"/>
      <c r="N54" s="1342"/>
      <c r="O54" s="1342"/>
      <c r="P54" s="1342"/>
      <c r="Q54" s="1343"/>
    </row>
    <row r="55" spans="1:17" s="715" customFormat="1" ht="24" customHeight="1">
      <c r="A55" s="2043" t="s">
        <v>1186</v>
      </c>
      <c r="B55" s="2044"/>
      <c r="C55" s="2044"/>
      <c r="D55" s="1342"/>
      <c r="E55" s="1342"/>
      <c r="F55" s="1342"/>
      <c r="G55" s="1342"/>
      <c r="H55" s="1342"/>
      <c r="I55" s="1342"/>
      <c r="J55" s="1342"/>
      <c r="K55" s="1342"/>
      <c r="L55" s="1342"/>
      <c r="M55" s="1342"/>
      <c r="N55" s="1342"/>
      <c r="O55" s="1342"/>
      <c r="P55" s="1342"/>
      <c r="Q55" s="1343"/>
    </row>
    <row r="56" spans="1:17" hidden="1">
      <c r="A56" s="1301"/>
      <c r="B56" s="1302"/>
      <c r="C56" s="1259"/>
      <c r="D56" s="1332"/>
      <c r="E56" s="1332"/>
      <c r="F56" s="1332"/>
      <c r="G56" s="1332"/>
      <c r="H56" s="1332"/>
      <c r="I56" s="1332"/>
      <c r="J56" s="1332"/>
      <c r="K56" s="1332"/>
      <c r="L56" s="1332"/>
      <c r="M56" s="1332"/>
      <c r="N56" s="1332"/>
      <c r="O56" s="1332"/>
      <c r="P56" s="1332"/>
      <c r="Q56" s="1337"/>
    </row>
    <row r="57" spans="1:17">
      <c r="A57" s="1290" t="s">
        <v>1187</v>
      </c>
      <c r="B57" s="1344" t="s">
        <v>376</v>
      </c>
      <c r="C57" s="1264" t="s">
        <v>350</v>
      </c>
      <c r="D57" s="1262" t="s">
        <v>515</v>
      </c>
      <c r="E57" s="1262" t="s">
        <v>516</v>
      </c>
      <c r="F57" s="1262" t="s">
        <v>515</v>
      </c>
      <c r="G57" s="1262" t="s">
        <v>516</v>
      </c>
      <c r="H57" s="1262" t="s">
        <v>515</v>
      </c>
      <c r="I57" s="1262" t="s">
        <v>516</v>
      </c>
      <c r="J57" s="1262" t="s">
        <v>515</v>
      </c>
      <c r="K57" s="1262" t="s">
        <v>516</v>
      </c>
      <c r="L57" s="1262" t="s">
        <v>515</v>
      </c>
      <c r="M57" s="1262" t="s">
        <v>516</v>
      </c>
      <c r="N57" s="1262" t="s">
        <v>515</v>
      </c>
      <c r="O57" s="1262" t="s">
        <v>516</v>
      </c>
      <c r="P57" s="1262" t="s">
        <v>515</v>
      </c>
      <c r="Q57" s="1288" t="s">
        <v>516</v>
      </c>
    </row>
    <row r="58" spans="1:17">
      <c r="A58" s="1296">
        <v>1</v>
      </c>
      <c r="B58" s="1259" t="s">
        <v>1188</v>
      </c>
      <c r="C58" s="1263" t="s">
        <v>362</v>
      </c>
      <c r="D58" s="1325">
        <v>54126.822917090511</v>
      </c>
      <c r="E58" s="1325">
        <v>44860.391843317149</v>
      </c>
      <c r="F58" s="1325">
        <v>57518.245062138056</v>
      </c>
      <c r="G58" s="1325">
        <v>46296.305878454346</v>
      </c>
      <c r="H58" s="1325">
        <v>58604.129254684791</v>
      </c>
      <c r="I58" s="1325">
        <v>47792.856799349203</v>
      </c>
      <c r="J58" s="1325">
        <f t="shared" ref="J58:Q58" si="20">J37</f>
        <v>58604.129254684791</v>
      </c>
      <c r="K58" s="1325">
        <f t="shared" si="20"/>
        <v>48518.217233269301</v>
      </c>
      <c r="L58" s="1325">
        <f t="shared" si="20"/>
        <v>66507.934409843161</v>
      </c>
      <c r="M58" s="1325">
        <f t="shared" si="20"/>
        <v>53670.052978594729</v>
      </c>
      <c r="N58" s="1325">
        <f t="shared" si="20"/>
        <v>66507.934409843161</v>
      </c>
      <c r="O58" s="1325">
        <f t="shared" si="20"/>
        <v>55428.355151076175</v>
      </c>
      <c r="P58" s="1325">
        <f t="shared" si="20"/>
        <v>76992.415543951531</v>
      </c>
      <c r="Q58" s="1328">
        <f t="shared" si="20"/>
        <v>57581.594578939679</v>
      </c>
    </row>
    <row r="59" spans="1:17">
      <c r="A59" s="1296">
        <v>2</v>
      </c>
      <c r="B59" s="1280" t="s">
        <v>1189</v>
      </c>
      <c r="C59" s="1263" t="s">
        <v>1185</v>
      </c>
      <c r="D59" s="1345">
        <v>8.25</v>
      </c>
      <c r="E59" s="1322">
        <v>44.55</v>
      </c>
      <c r="F59" s="1345">
        <v>45.515000000000001</v>
      </c>
      <c r="G59" s="1322">
        <v>166.126</v>
      </c>
      <c r="H59" s="1345">
        <v>10.143000000000001</v>
      </c>
      <c r="I59" s="1322">
        <v>2.0449999999999999</v>
      </c>
      <c r="J59" s="1345">
        <f>J53</f>
        <v>33.234999999999999</v>
      </c>
      <c r="K59" s="1322">
        <f t="shared" ref="K59:M59" si="21">K53</f>
        <v>40.856000000000002</v>
      </c>
      <c r="L59" s="1345">
        <f>L53</f>
        <v>106.265</v>
      </c>
      <c r="M59" s="1322">
        <f t="shared" si="21"/>
        <v>50.648000000000003</v>
      </c>
      <c r="N59" s="1345">
        <f>N53</f>
        <v>85.090999999999994</v>
      </c>
      <c r="O59" s="1322">
        <f t="shared" ref="O59:Q59" si="22">O53</f>
        <v>124.861</v>
      </c>
      <c r="P59" s="1345">
        <f>P53</f>
        <v>63.643000000000001</v>
      </c>
      <c r="Q59" s="1323">
        <f t="shared" si="22"/>
        <v>129.39099999999999</v>
      </c>
    </row>
    <row r="60" spans="1:17">
      <c r="A60" s="1296">
        <v>3</v>
      </c>
      <c r="B60" s="1280" t="s">
        <v>1190</v>
      </c>
      <c r="C60" s="1263" t="s">
        <v>362</v>
      </c>
      <c r="D60" s="2041">
        <v>46308.271698594239</v>
      </c>
      <c r="E60" s="2041"/>
      <c r="F60" s="2041">
        <v>48709.668893868955</v>
      </c>
      <c r="G60" s="2041"/>
      <c r="H60" s="2041">
        <v>56790.127599683045</v>
      </c>
      <c r="I60" s="2041"/>
      <c r="J60" s="2041">
        <f>(J58*J59+K58*K59)/(J59+K59)</f>
        <v>53042.454806412374</v>
      </c>
      <c r="K60" s="2041"/>
      <c r="L60" s="2041">
        <f>(L58*L59+M58*M59)/(L59+M59)</f>
        <v>62364.153979095732</v>
      </c>
      <c r="M60" s="2041"/>
      <c r="N60" s="2041">
        <f>(N58*N59+O58*O59)/(N59+O59)</f>
        <v>59918.774288344408</v>
      </c>
      <c r="O60" s="2041"/>
      <c r="P60" s="2041">
        <f>(P58*P59+Q58*Q59)/(P59+Q59)</f>
        <v>63981.311098704326</v>
      </c>
      <c r="Q60" s="2042"/>
    </row>
    <row r="61" spans="1:17">
      <c r="A61" s="1296">
        <v>4</v>
      </c>
      <c r="B61" s="1280" t="s">
        <v>1191</v>
      </c>
      <c r="C61" s="1263" t="s">
        <v>1175</v>
      </c>
      <c r="D61" s="2041">
        <v>9970.3125</v>
      </c>
      <c r="E61" s="2041"/>
      <c r="F61" s="2041">
        <v>9977.9574846083688</v>
      </c>
      <c r="G61" s="2041"/>
      <c r="H61" s="2041">
        <v>10058.187561535937</v>
      </c>
      <c r="I61" s="2041"/>
      <c r="J61" s="2041">
        <f>(J46*J59+K46*K59)/(J59+K59)</f>
        <v>10008.314100228097</v>
      </c>
      <c r="K61" s="2041"/>
      <c r="L61" s="2041">
        <f>(L46*L59+M46*M59)/(L59+M59)</f>
        <v>10038.038913283157</v>
      </c>
      <c r="M61" s="2041"/>
      <c r="N61" s="2041">
        <f>(N46*N59+O46*O59)/(N59+O59)</f>
        <v>10002.687423792106</v>
      </c>
      <c r="O61" s="2041"/>
      <c r="P61" s="2041">
        <f>(P46*P59+Q46*Q59)/(P59+Q59)</f>
        <v>9992.8607913631786</v>
      </c>
      <c r="Q61" s="2042"/>
    </row>
    <row r="62" spans="1:17">
      <c r="A62" s="2045" t="s">
        <v>1192</v>
      </c>
      <c r="B62" s="2046"/>
      <c r="C62" s="2046"/>
      <c r="D62" s="1346"/>
      <c r="E62" s="1346"/>
      <c r="F62" s="1259"/>
      <c r="G62" s="1259"/>
      <c r="H62" s="1259"/>
      <c r="I62" s="1259"/>
      <c r="J62" s="1259"/>
      <c r="K62" s="1259"/>
      <c r="L62" s="1259"/>
      <c r="M62" s="1259"/>
      <c r="N62" s="1259"/>
      <c r="O62" s="1259"/>
      <c r="P62" s="1259"/>
      <c r="Q62" s="1287"/>
    </row>
    <row r="63" spans="1:17" ht="17.25" customHeight="1" thickBot="1">
      <c r="A63" s="1304"/>
      <c r="B63" s="1305"/>
      <c r="C63" s="1306"/>
      <c r="D63" s="1347"/>
      <c r="E63" s="1347"/>
      <c r="F63" s="1306"/>
      <c r="G63" s="1306"/>
      <c r="H63" s="1306"/>
      <c r="I63" s="1306"/>
      <c r="J63" s="1306"/>
      <c r="K63" s="1306"/>
      <c r="L63" s="1306"/>
      <c r="M63" s="1306"/>
      <c r="N63" s="1306"/>
      <c r="O63" s="2026" t="s">
        <v>700</v>
      </c>
      <c r="P63" s="2026"/>
      <c r="Q63" s="2027"/>
    </row>
  </sheetData>
  <mergeCells count="28">
    <mergeCell ref="O63:Q63"/>
    <mergeCell ref="A35:C35"/>
    <mergeCell ref="A55:C55"/>
    <mergeCell ref="D4:E4"/>
    <mergeCell ref="F4:G4"/>
    <mergeCell ref="H4:I4"/>
    <mergeCell ref="A4:A5"/>
    <mergeCell ref="B4:B5"/>
    <mergeCell ref="C4:C5"/>
    <mergeCell ref="A62:C62"/>
    <mergeCell ref="H61:I61"/>
    <mergeCell ref="D61:E61"/>
    <mergeCell ref="F61:G61"/>
    <mergeCell ref="H60:I60"/>
    <mergeCell ref="D60:E60"/>
    <mergeCell ref="F60:G60"/>
    <mergeCell ref="J61:K61"/>
    <mergeCell ref="L61:M61"/>
    <mergeCell ref="N61:O61"/>
    <mergeCell ref="P61:Q61"/>
    <mergeCell ref="J4:K4"/>
    <mergeCell ref="L4:M4"/>
    <mergeCell ref="N4:O4"/>
    <mergeCell ref="P4:Q4"/>
    <mergeCell ref="J60:K60"/>
    <mergeCell ref="L60:M60"/>
    <mergeCell ref="N60:O60"/>
    <mergeCell ref="P60:Q60"/>
  </mergeCells>
  <pageMargins left="0.56999999999999995" right="0.5" top="0.47" bottom="0.45" header="0.3" footer="0.3"/>
  <pageSetup paperSize="9" scale="42" orientation="landscape" horizontalDpi="4294967293" verticalDpi="4294967295" r:id="rId1"/>
</worksheet>
</file>

<file path=xl/worksheets/sheet29.xml><?xml version="1.0" encoding="utf-8"?>
<worksheet xmlns="http://schemas.openxmlformats.org/spreadsheetml/2006/main" xmlns:r="http://schemas.openxmlformats.org/officeDocument/2006/relationships">
  <dimension ref="A1:X202"/>
  <sheetViews>
    <sheetView topLeftCell="A83" zoomScale="85" zoomScaleNormal="85" workbookViewId="0">
      <selection activeCell="G82" sqref="G82"/>
    </sheetView>
  </sheetViews>
  <sheetFormatPr defaultColWidth="8.83203125" defaultRowHeight="15"/>
  <cols>
    <col min="1" max="1" width="16.5" style="398" customWidth="1"/>
    <col min="2" max="2" width="18.6640625" style="398" customWidth="1"/>
    <col min="3" max="3" width="44.5" style="398" customWidth="1"/>
    <col min="4" max="6" width="20.83203125" style="398" customWidth="1"/>
    <col min="7" max="7" width="16.33203125" style="398" customWidth="1"/>
    <col min="8" max="8" width="17.6640625" style="398" customWidth="1"/>
    <col min="9" max="9" width="17.5" style="398" customWidth="1"/>
    <col min="10" max="10" width="8.83203125" style="398" customWidth="1"/>
    <col min="11" max="11" width="10.6640625" style="398" hidden="1" customWidth="1"/>
    <col min="12" max="12" width="12" style="398" hidden="1" customWidth="1"/>
    <col min="13" max="13" width="9.5" style="398" hidden="1" customWidth="1"/>
    <col min="14" max="14" width="32.1640625" style="398" hidden="1" customWidth="1"/>
    <col min="15" max="15" width="16.83203125" style="398" hidden="1" customWidth="1"/>
    <col min="16" max="16" width="17.6640625" style="398" hidden="1" customWidth="1"/>
    <col min="17" max="17" width="18.83203125" style="398" hidden="1" customWidth="1"/>
    <col min="18" max="18" width="17" style="398" hidden="1" customWidth="1"/>
    <col min="19" max="24" width="8.83203125" style="398" hidden="1" customWidth="1"/>
    <col min="25" max="16384" width="8.83203125" style="398"/>
  </cols>
  <sheetData>
    <row r="1" spans="1:21" ht="15.75">
      <c r="A1" s="1551"/>
      <c r="B1" s="1552"/>
      <c r="C1" s="1552"/>
      <c r="D1" s="1552"/>
      <c r="E1" s="1552"/>
      <c r="F1" s="1553"/>
      <c r="G1" s="1553"/>
      <c r="H1" s="1554" t="s">
        <v>743</v>
      </c>
      <c r="I1" s="1555"/>
    </row>
    <row r="2" spans="1:21" ht="15.75">
      <c r="A2" s="1556"/>
      <c r="B2" s="793"/>
      <c r="C2" s="793"/>
      <c r="D2" s="793"/>
      <c r="E2" s="793"/>
      <c r="F2" s="1557"/>
      <c r="G2" s="1557"/>
      <c r="H2" s="1558" t="s">
        <v>801</v>
      </c>
      <c r="I2" s="1559"/>
    </row>
    <row r="3" spans="1:21" ht="15.75">
      <c r="A3" s="1556"/>
      <c r="B3" s="793"/>
      <c r="C3" s="793"/>
      <c r="D3" s="793"/>
      <c r="E3" s="793"/>
      <c r="F3" s="1558"/>
      <c r="G3" s="1557"/>
      <c r="H3" s="1557"/>
      <c r="I3" s="1559"/>
    </row>
    <row r="4" spans="1:21" ht="15.75">
      <c r="A4" s="2051" t="s">
        <v>757</v>
      </c>
      <c r="B4" s="2052"/>
      <c r="C4" s="2052"/>
      <c r="D4" s="2052"/>
      <c r="E4" s="2052"/>
      <c r="F4" s="2052"/>
      <c r="G4" s="2052"/>
      <c r="H4" s="2052"/>
      <c r="I4" s="2053"/>
    </row>
    <row r="5" spans="1:21" ht="15.75">
      <c r="A5" s="1626"/>
      <c r="B5" s="1627"/>
      <c r="C5" s="1627"/>
      <c r="D5" s="1627"/>
      <c r="E5" s="1627"/>
      <c r="F5" s="793"/>
      <c r="G5" s="1557"/>
      <c r="H5" s="1557"/>
      <c r="I5" s="1559"/>
    </row>
    <row r="6" spans="1:21" ht="15.75">
      <c r="A6" s="1556"/>
      <c r="B6" s="791" t="str">
        <f>'Form 14'!A6</f>
        <v>Name of the Company:</v>
      </c>
      <c r="C6" s="1627"/>
      <c r="D6" s="791" t="str">
        <f>'Form 14'!C6</f>
        <v>The Singareni Collieries Company Ltd</v>
      </c>
      <c r="E6" s="1627"/>
      <c r="F6" s="793"/>
      <c r="G6" s="1557"/>
      <c r="H6" s="1557"/>
      <c r="I6" s="1559"/>
    </row>
    <row r="7" spans="1:21" ht="15.75">
      <c r="A7" s="1556"/>
      <c r="B7" s="791" t="str">
        <f>'Form 14'!A7</f>
        <v>Name of the Power Station:</v>
      </c>
      <c r="C7" s="792"/>
      <c r="D7" s="791" t="str">
        <f>'Form 14'!C7</f>
        <v>Singareni Thermal Power Project</v>
      </c>
      <c r="E7" s="1627"/>
      <c r="F7" s="793"/>
      <c r="G7" s="1557"/>
      <c r="H7" s="1557"/>
      <c r="I7" s="1559"/>
    </row>
    <row r="8" spans="1:21" ht="15.75">
      <c r="A8" s="1556"/>
      <c r="B8" s="791"/>
      <c r="C8" s="792"/>
      <c r="D8" s="791"/>
      <c r="E8" s="1627"/>
      <c r="F8" s="793"/>
      <c r="G8" s="1557"/>
      <c r="H8" s="1557"/>
      <c r="I8" s="1559"/>
    </row>
    <row r="9" spans="1:21" ht="15.75">
      <c r="A9" s="1560"/>
      <c r="B9" s="793"/>
      <c r="C9" s="792"/>
      <c r="D9" s="792"/>
      <c r="E9" s="793"/>
      <c r="F9" s="793"/>
      <c r="G9" s="1557"/>
      <c r="H9" s="1557"/>
      <c r="I9" s="1559"/>
    </row>
    <row r="10" spans="1:21" ht="21.75" customHeight="1">
      <c r="A10" s="1560"/>
      <c r="B10" s="793" t="s">
        <v>1489</v>
      </c>
      <c r="C10" s="792"/>
      <c r="D10" s="792"/>
      <c r="E10" s="793"/>
      <c r="F10" s="793"/>
      <c r="G10" s="1557"/>
      <c r="H10" s="1557"/>
      <c r="I10" s="1559"/>
    </row>
    <row r="11" spans="1:21" ht="15.75">
      <c r="A11" s="1560"/>
      <c r="B11" s="793"/>
      <c r="C11" s="792"/>
      <c r="D11" s="792"/>
      <c r="E11" s="1561" t="s">
        <v>1504</v>
      </c>
      <c r="F11" s="1557"/>
      <c r="G11" s="1557"/>
      <c r="H11" s="1557"/>
      <c r="I11" s="1559"/>
      <c r="M11" s="398">
        <v>11.75</v>
      </c>
    </row>
    <row r="12" spans="1:21" ht="15.75">
      <c r="A12" s="1562"/>
      <c r="B12" s="1563" t="s">
        <v>850</v>
      </c>
      <c r="C12" s="1564" t="s">
        <v>649</v>
      </c>
      <c r="D12" s="1565" t="s">
        <v>401</v>
      </c>
      <c r="E12" s="1565" t="s">
        <v>402</v>
      </c>
      <c r="F12" s="1557"/>
      <c r="G12" s="1557"/>
      <c r="H12" s="1557"/>
      <c r="I12" s="1559"/>
      <c r="N12" s="692">
        <f>D32</f>
        <v>92.79536460598257</v>
      </c>
      <c r="O12" s="692">
        <f>E32</f>
        <v>97.55867195390303</v>
      </c>
      <c r="P12" s="692">
        <f>F32</f>
        <v>103.73224320161047</v>
      </c>
      <c r="Q12" s="692">
        <f>G32</f>
        <v>114.44577146699579</v>
      </c>
      <c r="R12" s="692">
        <f>H32</f>
        <v>126.26579935439477</v>
      </c>
    </row>
    <row r="13" spans="1:21" ht="21" customHeight="1">
      <c r="A13" s="1562"/>
      <c r="B13" s="1568">
        <v>1</v>
      </c>
      <c r="C13" s="1574" t="s">
        <v>1229</v>
      </c>
      <c r="D13" s="1590">
        <v>207.60000000000002</v>
      </c>
      <c r="E13" s="1590">
        <v>220.56000000000003</v>
      </c>
      <c r="F13" s="1557"/>
      <c r="G13" s="1557"/>
      <c r="H13" s="1557"/>
      <c r="I13" s="1559"/>
      <c r="L13" s="398">
        <f>M11*N12/E14</f>
        <v>13.688416428397694</v>
      </c>
    </row>
    <row r="14" spans="1:21" ht="24" customHeight="1">
      <c r="A14" s="1562"/>
      <c r="B14" s="1568">
        <v>2</v>
      </c>
      <c r="C14" s="1574" t="s">
        <v>911</v>
      </c>
      <c r="D14" s="1567">
        <v>96.346320164132777</v>
      </c>
      <c r="E14" s="1567">
        <v>79.654614529280963</v>
      </c>
      <c r="F14" s="1557"/>
      <c r="G14" s="1557"/>
      <c r="H14" s="1557"/>
      <c r="I14" s="1559"/>
      <c r="L14" s="695">
        <v>33.57</v>
      </c>
      <c r="M14" s="692">
        <v>88.22</v>
      </c>
      <c r="N14" s="694">
        <v>77.95</v>
      </c>
    </row>
    <row r="15" spans="1:21" ht="33.75" customHeight="1">
      <c r="A15" s="1562"/>
      <c r="B15" s="1568">
        <v>3</v>
      </c>
      <c r="C15" s="1574" t="s">
        <v>901</v>
      </c>
      <c r="D15" s="1567">
        <v>78.315513704034927</v>
      </c>
      <c r="E15" s="1567">
        <v>111.38361749444033</v>
      </c>
      <c r="F15" s="1557"/>
      <c r="G15" s="1557"/>
      <c r="H15" s="1557"/>
      <c r="I15" s="1559"/>
      <c r="L15" s="695">
        <v>24.740000000000002</v>
      </c>
      <c r="M15" s="692">
        <v>71.709999999999994</v>
      </c>
      <c r="N15" s="694">
        <v>109</v>
      </c>
    </row>
    <row r="16" spans="1:21" ht="15.75">
      <c r="A16" s="1562"/>
      <c r="B16" s="1568">
        <v>4</v>
      </c>
      <c r="C16" s="1574" t="s">
        <v>917</v>
      </c>
      <c r="D16" s="1567">
        <v>32.93816613183229</v>
      </c>
      <c r="E16" s="1567">
        <v>29.521767976278728</v>
      </c>
      <c r="F16" s="1557"/>
      <c r="G16" s="1557"/>
      <c r="H16" s="1557"/>
      <c r="I16" s="1559"/>
      <c r="L16" s="695">
        <v>20.64</v>
      </c>
      <c r="M16" s="692">
        <v>30.16</v>
      </c>
      <c r="N16" s="694">
        <v>28.89</v>
      </c>
      <c r="S16" s="732" t="s">
        <v>1094</v>
      </c>
      <c r="U16" s="732" t="s">
        <v>1090</v>
      </c>
    </row>
    <row r="17" spans="1:22" ht="15.75">
      <c r="A17" s="1562"/>
      <c r="B17" s="1671"/>
      <c r="C17" s="1557"/>
      <c r="D17" s="1557"/>
      <c r="E17" s="1557"/>
      <c r="F17" s="1557"/>
      <c r="G17" s="1557"/>
      <c r="H17" s="1557"/>
      <c r="I17" s="1559"/>
      <c r="L17" s="696">
        <f>SUM(L14:L16)</f>
        <v>78.95</v>
      </c>
      <c r="M17" s="696">
        <f>SUM(M14:M16)</f>
        <v>190.09</v>
      </c>
      <c r="N17" s="696">
        <f>SUM(N14:N16)</f>
        <v>215.83999999999997</v>
      </c>
      <c r="R17" s="398">
        <v>2018</v>
      </c>
      <c r="S17" s="398">
        <v>288</v>
      </c>
      <c r="T17" s="732" t="s">
        <v>1230</v>
      </c>
      <c r="U17" s="398">
        <v>119.8</v>
      </c>
    </row>
    <row r="18" spans="1:22" ht="15.75" hidden="1">
      <c r="A18" s="1562"/>
      <c r="B18" s="1672">
        <v>1</v>
      </c>
      <c r="C18" s="1557" t="s">
        <v>1341</v>
      </c>
      <c r="D18" s="1567">
        <v>78.95</v>
      </c>
      <c r="E18" s="1567">
        <v>190.08</v>
      </c>
      <c r="F18" s="1567">
        <v>215.84</v>
      </c>
      <c r="G18" s="1557"/>
      <c r="H18" s="1557"/>
      <c r="I18" s="1559"/>
      <c r="L18" s="692">
        <f>L14/L17*D19</f>
        <v>35.028455984800502</v>
      </c>
      <c r="M18" s="692">
        <f>M14/M17*E19</f>
        <v>96.346320164132777</v>
      </c>
      <c r="N18" s="692">
        <f>N14/N17*F19</f>
        <v>79.654614529280963</v>
      </c>
      <c r="R18" s="398">
        <v>2019</v>
      </c>
      <c r="S18" s="398">
        <v>312</v>
      </c>
      <c r="T18" s="732" t="s">
        <v>1230</v>
      </c>
      <c r="U18" s="398">
        <v>121.8</v>
      </c>
    </row>
    <row r="19" spans="1:22" ht="15.75" hidden="1">
      <c r="A19" s="1562"/>
      <c r="B19" s="1568">
        <v>2</v>
      </c>
      <c r="C19" s="1569" t="s">
        <v>912</v>
      </c>
      <c r="D19" s="1567">
        <f>18.19+64.19</f>
        <v>82.38</v>
      </c>
      <c r="E19" s="1567">
        <v>207.6</v>
      </c>
      <c r="F19" s="1567">
        <v>220.56</v>
      </c>
      <c r="G19" s="1557"/>
      <c r="H19" s="1557"/>
      <c r="I19" s="1559"/>
      <c r="L19" s="692">
        <f>L15/L17*D19</f>
        <v>25.814834705509817</v>
      </c>
      <c r="M19" s="692">
        <f>M15/M17*E19</f>
        <v>78.315513704034927</v>
      </c>
      <c r="N19" s="692">
        <f>N15/N17*F19</f>
        <v>111.38361749444033</v>
      </c>
      <c r="R19" s="398">
        <v>2020</v>
      </c>
      <c r="S19" s="398">
        <v>329</v>
      </c>
      <c r="T19" s="732" t="s">
        <v>1230</v>
      </c>
      <c r="U19" s="732">
        <v>123.4</v>
      </c>
    </row>
    <row r="20" spans="1:22" ht="15.75" hidden="1">
      <c r="A20" s="1562"/>
      <c r="B20" s="1568">
        <v>3</v>
      </c>
      <c r="C20" s="1569" t="s">
        <v>913</v>
      </c>
      <c r="D20" s="1567">
        <f>D19-D18</f>
        <v>3.4299999999999926</v>
      </c>
      <c r="E20" s="1567">
        <f>E19-E18</f>
        <v>17.519999999999982</v>
      </c>
      <c r="F20" s="1567">
        <f>F19-F18</f>
        <v>4.7199999999999989</v>
      </c>
      <c r="G20" s="1557"/>
      <c r="H20" s="1557"/>
      <c r="I20" s="1559"/>
      <c r="L20" s="692">
        <f>L16/L17*D19</f>
        <v>21.536709309689673</v>
      </c>
      <c r="M20" s="692">
        <f>M16/M17*E19</f>
        <v>32.93816613183229</v>
      </c>
      <c r="N20" s="692">
        <f>N16/N17*F19</f>
        <v>29.521767976278728</v>
      </c>
      <c r="P20" s="398">
        <v>2.88</v>
      </c>
      <c r="Q20" s="398">
        <f>P20*S20</f>
        <v>345.88799999999998</v>
      </c>
      <c r="R20" s="398">
        <v>2021</v>
      </c>
      <c r="S20" s="398">
        <v>120.1</v>
      </c>
      <c r="T20" s="732" t="s">
        <v>1230</v>
      </c>
      <c r="U20" s="398">
        <v>139.4</v>
      </c>
    </row>
    <row r="21" spans="1:22" ht="15.75" hidden="1">
      <c r="A21" s="1562"/>
      <c r="B21" s="1568">
        <v>4</v>
      </c>
      <c r="C21" s="1569" t="s">
        <v>1443</v>
      </c>
      <c r="D21" s="1567">
        <f>D20*2*365/(68+2*119)</f>
        <v>8.182679738562074</v>
      </c>
      <c r="E21" s="1567">
        <f>E20</f>
        <v>17.519999999999982</v>
      </c>
      <c r="F21" s="1567">
        <f>F20</f>
        <v>4.7199999999999989</v>
      </c>
      <c r="G21" s="1557"/>
      <c r="H21" s="1557"/>
      <c r="I21" s="1559"/>
      <c r="L21" s="696">
        <f>SUM(L18:L20)</f>
        <v>82.38</v>
      </c>
      <c r="M21" s="696">
        <f>SUM(M18:M20)</f>
        <v>207.60000000000002</v>
      </c>
      <c r="N21" s="696">
        <f>SUM(N18:N20)</f>
        <v>220.56000000000003</v>
      </c>
      <c r="R21" s="398">
        <v>2022</v>
      </c>
      <c r="S21" s="398">
        <v>127.7</v>
      </c>
      <c r="T21" s="732" t="s">
        <v>1230</v>
      </c>
      <c r="U21" s="398">
        <v>153.80000000000001</v>
      </c>
      <c r="V21" s="734" t="s">
        <v>1231</v>
      </c>
    </row>
    <row r="22" spans="1:22" ht="15.75">
      <c r="A22" s="1562"/>
      <c r="B22" s="1557"/>
      <c r="C22" s="1557"/>
      <c r="D22" s="1557"/>
      <c r="E22" s="1557"/>
      <c r="F22" s="1561"/>
      <c r="G22" s="1557"/>
      <c r="H22" s="1557"/>
      <c r="I22" s="1559"/>
    </row>
    <row r="23" spans="1:22" ht="19.5" customHeight="1">
      <c r="A23" s="1570"/>
      <c r="B23" s="2054" t="s">
        <v>1490</v>
      </c>
      <c r="C23" s="2054"/>
      <c r="D23" s="2054"/>
      <c r="E23" s="2054"/>
      <c r="F23" s="2054"/>
      <c r="G23" s="1628"/>
      <c r="H23" s="1557"/>
      <c r="I23" s="1559"/>
    </row>
    <row r="24" spans="1:22" ht="24.75" customHeight="1">
      <c r="A24" s="1570"/>
      <c r="B24" s="2055" t="s">
        <v>1485</v>
      </c>
      <c r="C24" s="2055"/>
      <c r="D24" s="2055"/>
      <c r="E24" s="2055"/>
      <c r="F24" s="2055"/>
      <c r="G24" s="1628"/>
      <c r="H24" s="1557"/>
      <c r="I24" s="1559"/>
      <c r="L24" s="453"/>
      <c r="Q24" s="700" t="s">
        <v>1094</v>
      </c>
      <c r="R24" s="700" t="s">
        <v>1090</v>
      </c>
    </row>
    <row r="25" spans="1:22" ht="15.75">
      <c r="A25" s="1562"/>
      <c r="B25" s="1557"/>
      <c r="C25" s="1557"/>
      <c r="D25" s="1557"/>
      <c r="E25" s="1557"/>
      <c r="F25" s="1557"/>
      <c r="G25" s="1557"/>
      <c r="H25" s="1561" t="s">
        <v>1505</v>
      </c>
      <c r="I25" s="1559"/>
    </row>
    <row r="26" spans="1:22" ht="31.5">
      <c r="A26" s="1570"/>
      <c r="B26" s="1568" t="s">
        <v>850</v>
      </c>
      <c r="C26" s="1571" t="s">
        <v>649</v>
      </c>
      <c r="D26" s="1572" t="s">
        <v>904</v>
      </c>
      <c r="E26" s="1572" t="s">
        <v>903</v>
      </c>
      <c r="F26" s="1572" t="s">
        <v>905</v>
      </c>
      <c r="G26" s="1572" t="s">
        <v>906</v>
      </c>
      <c r="H26" s="1572" t="s">
        <v>907</v>
      </c>
      <c r="I26" s="1559"/>
      <c r="M26" s="398">
        <v>51.285547955999967</v>
      </c>
      <c r="N26" s="398">
        <v>62.724275546000001</v>
      </c>
      <c r="O26" s="398">
        <v>77.8578547729999</v>
      </c>
      <c r="Q26" s="733">
        <f>(S18-S17)/S18</f>
        <v>7.6923076923076927E-2</v>
      </c>
      <c r="R26" s="733">
        <f>U18/U17-1</f>
        <v>1.6694490818029983E-2</v>
      </c>
    </row>
    <row r="27" spans="1:22" ht="31.5">
      <c r="A27" s="1570"/>
      <c r="B27" s="1568">
        <v>1</v>
      </c>
      <c r="C27" s="1573" t="s">
        <v>1483</v>
      </c>
      <c r="D27" s="1567">
        <f>AVERAGE(D14:E14)</f>
        <v>88.00046734670687</v>
      </c>
      <c r="E27" s="1567">
        <f>D32</f>
        <v>92.79536460598257</v>
      </c>
      <c r="F27" s="1567">
        <f t="shared" ref="F27:H27" si="0">E32</f>
        <v>97.55867195390303</v>
      </c>
      <c r="G27" s="1567">
        <f t="shared" si="0"/>
        <v>103.73224320161047</v>
      </c>
      <c r="H27" s="1567">
        <f t="shared" si="0"/>
        <v>114.44577146699579</v>
      </c>
      <c r="I27" s="1559"/>
      <c r="K27" s="787"/>
      <c r="M27" s="398">
        <v>31.88372909600001</v>
      </c>
      <c r="N27" s="398">
        <v>26.129030587999999</v>
      </c>
      <c r="O27" s="398">
        <v>43.846106821999989</v>
      </c>
      <c r="Q27" s="733">
        <f>S19/S18-1</f>
        <v>5.4487179487179516E-2</v>
      </c>
      <c r="R27" s="733">
        <f>U19/U18-1</f>
        <v>1.3136288998357948E-2</v>
      </c>
    </row>
    <row r="28" spans="1:22" ht="27" customHeight="1">
      <c r="A28" s="1570"/>
      <c r="B28" s="1568">
        <v>2</v>
      </c>
      <c r="C28" s="1574" t="s">
        <v>1339</v>
      </c>
      <c r="D28" s="1575">
        <f>S18</f>
        <v>312</v>
      </c>
      <c r="E28" s="1575">
        <f>S19</f>
        <v>329</v>
      </c>
      <c r="F28" s="1575">
        <f>S20</f>
        <v>120.1</v>
      </c>
      <c r="G28" s="1575">
        <f>S21</f>
        <v>127.7</v>
      </c>
      <c r="H28" s="1567" t="s">
        <v>1488</v>
      </c>
      <c r="I28" s="1559"/>
      <c r="K28" s="786"/>
      <c r="M28" s="398">
        <v>109.08027278</v>
      </c>
      <c r="N28" s="398">
        <v>112.49418763499999</v>
      </c>
      <c r="O28" s="398">
        <v>108.28737745700001</v>
      </c>
      <c r="Q28" s="733">
        <f>Q20/S19-1</f>
        <v>5.1331306990881398E-2</v>
      </c>
      <c r="R28" s="733">
        <f>U20/U19-1</f>
        <v>0.12965964343598047</v>
      </c>
    </row>
    <row r="29" spans="1:22" ht="20.25" customHeight="1">
      <c r="A29" s="1570"/>
      <c r="B29" s="1568">
        <v>3</v>
      </c>
      <c r="C29" s="1574" t="s">
        <v>1337</v>
      </c>
      <c r="D29" s="728">
        <f>E28/D28-1</f>
        <v>5.4487179487179516E-2</v>
      </c>
      <c r="E29" s="728">
        <f>(2.88*F28)/E28-1</f>
        <v>5.1331306990881398E-2</v>
      </c>
      <c r="F29" s="728">
        <f>G28/F28-1</f>
        <v>6.3280599500416423E-2</v>
      </c>
      <c r="G29" s="1576">
        <f>F29</f>
        <v>6.3280599500416423E-2</v>
      </c>
      <c r="H29" s="1576">
        <f>G29</f>
        <v>6.3280599500416423E-2</v>
      </c>
      <c r="I29" s="1559"/>
      <c r="Q29" s="733">
        <f t="shared" ref="Q29" si="1">S21/S20-1</f>
        <v>6.3280599500416423E-2</v>
      </c>
      <c r="R29" s="733">
        <f>U21/U20-1</f>
        <v>0.10329985652797702</v>
      </c>
    </row>
    <row r="30" spans="1:22" ht="31.5">
      <c r="A30" s="1562"/>
      <c r="B30" s="1568">
        <v>4</v>
      </c>
      <c r="C30" s="1574" t="s">
        <v>1286</v>
      </c>
      <c r="D30" s="1577">
        <f>1+Q27</f>
        <v>1.0544871794871795</v>
      </c>
      <c r="E30" s="1577">
        <f>1+Q28</f>
        <v>1.0513313069908814</v>
      </c>
      <c r="F30" s="1577">
        <f>1+Q29</f>
        <v>1.0632805995004164</v>
      </c>
      <c r="G30" s="1577">
        <f>1+Q29</f>
        <v>1.0632805995004164</v>
      </c>
      <c r="H30" s="1577">
        <f>1+Q29</f>
        <v>1.0632805995004164</v>
      </c>
      <c r="I30" s="1559"/>
    </row>
    <row r="31" spans="1:22" ht="29.25" customHeight="1">
      <c r="A31" s="1562"/>
      <c r="B31" s="1568">
        <v>5</v>
      </c>
      <c r="C31" s="1574" t="s">
        <v>1235</v>
      </c>
      <c r="D31" s="1567">
        <f t="shared" ref="D31:F31" si="2">D27*0%</f>
        <v>0</v>
      </c>
      <c r="E31" s="1567">
        <f t="shared" si="2"/>
        <v>0</v>
      </c>
      <c r="F31" s="1567">
        <f t="shared" si="2"/>
        <v>0</v>
      </c>
      <c r="G31" s="1578">
        <f>G27*4%</f>
        <v>4.149289728064419</v>
      </c>
      <c r="H31" s="1578">
        <f>H27*4%</f>
        <v>4.5778308586798317</v>
      </c>
      <c r="I31" s="1559"/>
      <c r="N31" s="790" t="s">
        <v>1343</v>
      </c>
      <c r="O31" s="789" t="s">
        <v>402</v>
      </c>
      <c r="P31" s="789" t="s">
        <v>856</v>
      </c>
      <c r="Q31" s="789" t="s">
        <v>857</v>
      </c>
      <c r="R31" s="789" t="s">
        <v>858</v>
      </c>
    </row>
    <row r="32" spans="1:22" ht="31.5">
      <c r="A32" s="1562"/>
      <c r="B32" s="1568">
        <v>6</v>
      </c>
      <c r="C32" s="1574" t="s">
        <v>1484</v>
      </c>
      <c r="D32" s="1567">
        <f>D27*D30+D31</f>
        <v>92.79536460598257</v>
      </c>
      <c r="E32" s="1567">
        <f>E27*E30+E31</f>
        <v>97.55867195390303</v>
      </c>
      <c r="F32" s="1567">
        <f>F27*F30+F31</f>
        <v>103.73224320161047</v>
      </c>
      <c r="G32" s="1567">
        <f>G27*G30+G31</f>
        <v>114.44577146699579</v>
      </c>
      <c r="H32" s="1567">
        <f>H27*H30+H31</f>
        <v>126.26579935439477</v>
      </c>
      <c r="I32" s="1559"/>
      <c r="N32" s="549" t="s">
        <v>1342</v>
      </c>
      <c r="O32" s="701">
        <v>220.56000000000003</v>
      </c>
      <c r="P32" s="701">
        <v>227.65389931199996</v>
      </c>
      <c r="Q32" s="701">
        <v>249.95072485999998</v>
      </c>
      <c r="R32" s="701">
        <v>281.76497764699991</v>
      </c>
    </row>
    <row r="33" spans="1:18" ht="63" customHeight="1">
      <c r="A33" s="1562"/>
      <c r="B33" s="2056" t="s">
        <v>1491</v>
      </c>
      <c r="C33" s="2057"/>
      <c r="D33" s="2057"/>
      <c r="E33" s="2057"/>
      <c r="F33" s="2057"/>
      <c r="G33" s="2057"/>
      <c r="H33" s="2058"/>
      <c r="I33" s="1559"/>
      <c r="N33" s="549" t="s">
        <v>911</v>
      </c>
      <c r="O33" s="421">
        <v>79.654614529280963</v>
      </c>
      <c r="P33" s="421">
        <v>77.12</v>
      </c>
      <c r="Q33" s="421">
        <v>75.3</v>
      </c>
      <c r="R33" s="421">
        <v>88.73</v>
      </c>
    </row>
    <row r="34" spans="1:18" ht="16.5" customHeight="1">
      <c r="A34" s="1570"/>
      <c r="B34" s="1557"/>
      <c r="C34" s="1557"/>
      <c r="D34" s="1557"/>
      <c r="E34" s="1557"/>
      <c r="F34" s="1557"/>
      <c r="G34" s="1557"/>
      <c r="H34" s="1557"/>
      <c r="I34" s="1559"/>
      <c r="N34" s="549" t="s">
        <v>901</v>
      </c>
      <c r="O34" s="421">
        <v>111.38361749444033</v>
      </c>
      <c r="P34" s="421">
        <v>101.9</v>
      </c>
      <c r="Q34" s="421">
        <v>116.07</v>
      </c>
      <c r="R34" s="421">
        <v>126.95</v>
      </c>
    </row>
    <row r="35" spans="1:18" ht="18.75">
      <c r="A35" s="1570"/>
      <c r="B35" s="1557"/>
      <c r="C35" s="1561"/>
      <c r="D35" s="1561"/>
      <c r="E35" s="1561"/>
      <c r="F35" s="1561"/>
      <c r="G35" s="1557"/>
      <c r="H35" s="1557"/>
      <c r="I35" s="1559"/>
      <c r="N35" s="549" t="s">
        <v>917</v>
      </c>
      <c r="O35" s="421">
        <v>29.521767976278728</v>
      </c>
      <c r="P35" s="421">
        <v>48.63</v>
      </c>
      <c r="Q35" s="421">
        <v>58.57</v>
      </c>
      <c r="R35" s="421">
        <v>66.069999999999993</v>
      </c>
    </row>
    <row r="36" spans="1:18" ht="15.75">
      <c r="A36" s="1570"/>
      <c r="B36" s="2055" t="s">
        <v>1509</v>
      </c>
      <c r="C36" s="2055"/>
      <c r="D36" s="2055"/>
      <c r="E36" s="2055"/>
      <c r="F36" s="1561"/>
      <c r="G36" s="1557"/>
      <c r="H36" s="1557"/>
      <c r="I36" s="1559"/>
    </row>
    <row r="37" spans="1:18" ht="15.75">
      <c r="A37" s="1570"/>
      <c r="B37" s="1579"/>
      <c r="C37" s="1561"/>
      <c r="D37" s="1561"/>
      <c r="E37" s="1561"/>
      <c r="F37" s="1561"/>
      <c r="G37" s="1557"/>
      <c r="H37" s="1557"/>
      <c r="I37" s="1559"/>
    </row>
    <row r="38" spans="1:18" ht="37.5">
      <c r="A38" s="1570"/>
      <c r="B38" s="2059" t="s">
        <v>1486</v>
      </c>
      <c r="C38" s="2059"/>
      <c r="D38" s="1628"/>
      <c r="E38" s="1628"/>
      <c r="F38" s="1561"/>
      <c r="G38" s="1561"/>
      <c r="H38" s="1557"/>
      <c r="I38" s="1559"/>
      <c r="N38" s="549" t="s">
        <v>1345</v>
      </c>
      <c r="O38" s="421">
        <f>O33</f>
        <v>79.654614529280963</v>
      </c>
      <c r="P38" s="421">
        <f>D32</f>
        <v>92.79536460598257</v>
      </c>
      <c r="Q38" s="421">
        <f>E32</f>
        <v>97.55867195390303</v>
      </c>
      <c r="R38" s="421">
        <f>F32</f>
        <v>103.73224320161047</v>
      </c>
    </row>
    <row r="39" spans="1:18" ht="15.75">
      <c r="A39" s="1570"/>
      <c r="B39" s="1580"/>
      <c r="C39" s="1579"/>
      <c r="D39" s="1561"/>
      <c r="E39" s="1561" t="s">
        <v>1505</v>
      </c>
      <c r="F39" s="1557"/>
      <c r="G39" s="1561"/>
      <c r="H39" s="1557"/>
      <c r="I39" s="1559"/>
    </row>
    <row r="40" spans="1:18" ht="18.75">
      <c r="A40" s="1570"/>
      <c r="B40" s="1568" t="s">
        <v>850</v>
      </c>
      <c r="C40" s="1571" t="s">
        <v>649</v>
      </c>
      <c r="D40" s="1567" t="s">
        <v>401</v>
      </c>
      <c r="E40" s="1567" t="s">
        <v>402</v>
      </c>
      <c r="F40" s="1557"/>
      <c r="G40" s="1561"/>
      <c r="H40" s="1557"/>
      <c r="I40" s="1559"/>
      <c r="N40" s="549" t="s">
        <v>1344</v>
      </c>
      <c r="O40" s="421">
        <v>11.75</v>
      </c>
      <c r="P40" s="421">
        <v>14.362765895000003</v>
      </c>
      <c r="Q40" s="421">
        <v>29.013154824000001</v>
      </c>
      <c r="R40" s="421">
        <v>35.295679667000002</v>
      </c>
    </row>
    <row r="41" spans="1:18" ht="37.5">
      <c r="A41" s="1570"/>
      <c r="B41" s="1568">
        <v>1</v>
      </c>
      <c r="C41" s="1574" t="s">
        <v>901</v>
      </c>
      <c r="D41" s="1567">
        <f>D15</f>
        <v>78.315513704034927</v>
      </c>
      <c r="E41" s="1567">
        <f>E15</f>
        <v>111.38361749444033</v>
      </c>
      <c r="F41" s="1557"/>
      <c r="G41" s="1561"/>
      <c r="H41" s="1557"/>
      <c r="I41" s="1559"/>
      <c r="N41" s="549" t="s">
        <v>1346</v>
      </c>
      <c r="O41" s="421"/>
      <c r="P41" s="421">
        <f>P38/O38*O40</f>
        <v>13.688416428397693</v>
      </c>
      <c r="Q41" s="421">
        <f>Q38/O38*O40</f>
        <v>14.391060734302799</v>
      </c>
      <c r="R41" s="421">
        <f>R38/O38*O40</f>
        <v>15.301735685016386</v>
      </c>
    </row>
    <row r="42" spans="1:18" ht="31.5">
      <c r="A42" s="1570"/>
      <c r="B42" s="1568">
        <v>2</v>
      </c>
      <c r="C42" s="1574" t="s">
        <v>1340</v>
      </c>
      <c r="D42" s="1567">
        <f>'Form 13A'!E14</f>
        <v>6755.08</v>
      </c>
      <c r="E42" s="1567">
        <f>'Form 13A'!F14</f>
        <v>7124.72</v>
      </c>
      <c r="F42" s="1557"/>
      <c r="G42" s="1561"/>
      <c r="H42" s="1557"/>
      <c r="I42" s="1559"/>
      <c r="O42" s="692"/>
      <c r="P42" s="692"/>
      <c r="Q42" s="692"/>
    </row>
    <row r="43" spans="1:18" ht="31.5">
      <c r="A43" s="1570"/>
      <c r="B43" s="1568">
        <v>3</v>
      </c>
      <c r="C43" s="1574" t="s">
        <v>1444</v>
      </c>
      <c r="D43" s="1581">
        <f>D41/D42*100</f>
        <v>1.1593573089295008</v>
      </c>
      <c r="E43" s="1581">
        <f>E41/E42*100</f>
        <v>1.5633402785574777</v>
      </c>
      <c r="F43" s="1557"/>
      <c r="G43" s="1561"/>
      <c r="H43" s="1557"/>
      <c r="I43" s="1559"/>
    </row>
    <row r="44" spans="1:18" ht="15.75" hidden="1">
      <c r="A44" s="1570"/>
      <c r="B44" s="1563">
        <v>5</v>
      </c>
      <c r="C44" s="1566" t="s">
        <v>908</v>
      </c>
      <c r="D44" s="1567"/>
      <c r="E44" s="1567"/>
      <c r="F44" s="1582" t="s">
        <v>514</v>
      </c>
      <c r="G44" s="1561"/>
      <c r="H44" s="1557"/>
      <c r="I44" s="1559"/>
    </row>
    <row r="45" spans="1:18" ht="15.75" hidden="1">
      <c r="A45" s="1570"/>
      <c r="B45" s="1563">
        <v>6</v>
      </c>
      <c r="C45" s="1566" t="s">
        <v>909</v>
      </c>
      <c r="D45" s="1567"/>
      <c r="E45" s="1567"/>
      <c r="F45" s="1582" t="s">
        <v>514</v>
      </c>
      <c r="G45" s="1561"/>
      <c r="H45" s="1557"/>
      <c r="I45" s="1559"/>
    </row>
    <row r="46" spans="1:18" ht="15.75" hidden="1">
      <c r="A46" s="1570"/>
      <c r="B46" s="1563">
        <v>7</v>
      </c>
      <c r="C46" s="1566" t="s">
        <v>910</v>
      </c>
      <c r="D46" s="1567"/>
      <c r="E46" s="1567"/>
      <c r="F46" s="1567"/>
      <c r="G46" s="1561"/>
      <c r="H46" s="1557"/>
      <c r="I46" s="1559"/>
    </row>
    <row r="47" spans="1:18" ht="15.75">
      <c r="A47" s="1570"/>
      <c r="B47" s="1580"/>
      <c r="C47" s="1579"/>
      <c r="D47" s="1561"/>
      <c r="E47" s="1561"/>
      <c r="F47" s="1561"/>
      <c r="G47" s="1561"/>
      <c r="H47" s="1557"/>
      <c r="I47" s="1559"/>
    </row>
    <row r="48" spans="1:18" ht="15.75">
      <c r="A48" s="1570"/>
      <c r="B48" s="1580"/>
      <c r="C48" s="1579"/>
      <c r="D48" s="1561"/>
      <c r="E48" s="1561"/>
      <c r="F48" s="1561"/>
      <c r="G48" s="1561"/>
      <c r="H48" s="1557"/>
      <c r="I48" s="1559"/>
    </row>
    <row r="49" spans="1:9" ht="31.5">
      <c r="A49" s="1570"/>
      <c r="B49" s="1568" t="s">
        <v>850</v>
      </c>
      <c r="C49" s="1571" t="s">
        <v>649</v>
      </c>
      <c r="D49" s="1572" t="s">
        <v>904</v>
      </c>
      <c r="E49" s="1572" t="s">
        <v>903</v>
      </c>
      <c r="F49" s="1572" t="s">
        <v>905</v>
      </c>
      <c r="G49" s="1572" t="s">
        <v>906</v>
      </c>
      <c r="H49" s="1572" t="s">
        <v>907</v>
      </c>
      <c r="I49" s="1559"/>
    </row>
    <row r="50" spans="1:9" ht="47.25" customHeight="1">
      <c r="A50" s="1570"/>
      <c r="B50" s="1568">
        <v>1</v>
      </c>
      <c r="C50" s="1574" t="s">
        <v>902</v>
      </c>
      <c r="D50" s="1567">
        <f>'Form 13A'!G14</f>
        <v>7745.3200000000006</v>
      </c>
      <c r="E50" s="1567">
        <f>'Form 13A'!H14</f>
        <v>7941.0477538000014</v>
      </c>
      <c r="F50" s="1567">
        <f>'Form 13A'!I14</f>
        <v>7973.8939538000013</v>
      </c>
      <c r="G50" s="1567">
        <f>'Form 13A'!J14</f>
        <v>7998.0810906000006</v>
      </c>
      <c r="H50" s="1567">
        <f>'Form 13A'!K14</f>
        <v>8064.3010906000009</v>
      </c>
      <c r="I50" s="1559"/>
    </row>
    <row r="51" spans="1:9" ht="31.5">
      <c r="A51" s="1570"/>
      <c r="B51" s="1568">
        <v>2</v>
      </c>
      <c r="C51" s="1574" t="s">
        <v>1510</v>
      </c>
      <c r="D51" s="1577">
        <f>AVERAGE(D43:E43)</f>
        <v>1.3613487937434892</v>
      </c>
      <c r="E51" s="1577">
        <f>D51</f>
        <v>1.3613487937434892</v>
      </c>
      <c r="F51" s="1577">
        <f>E51</f>
        <v>1.3613487937434892</v>
      </c>
      <c r="G51" s="1577">
        <f>F51</f>
        <v>1.3613487937434892</v>
      </c>
      <c r="H51" s="1577">
        <f>G51</f>
        <v>1.3613487937434892</v>
      </c>
      <c r="I51" s="1559"/>
    </row>
    <row r="52" spans="1:9" ht="15.75">
      <c r="A52" s="1570"/>
      <c r="B52" s="1568">
        <v>3</v>
      </c>
      <c r="C52" s="1574" t="s">
        <v>1090</v>
      </c>
      <c r="D52" s="1575">
        <v>121.8</v>
      </c>
      <c r="E52" s="1575">
        <v>123.4</v>
      </c>
      <c r="F52" s="1575">
        <v>139.4</v>
      </c>
      <c r="G52" s="1575">
        <v>153.80000000000001</v>
      </c>
      <c r="H52" s="1577" t="s">
        <v>1488</v>
      </c>
      <c r="I52" s="1559"/>
    </row>
    <row r="53" spans="1:9" ht="15.75">
      <c r="A53" s="1570"/>
      <c r="B53" s="1568">
        <v>4</v>
      </c>
      <c r="C53" s="1574" t="s">
        <v>1338</v>
      </c>
      <c r="D53" s="728">
        <f>(D52/119.8)-1</f>
        <v>1.6694490818029983E-2</v>
      </c>
      <c r="E53" s="728">
        <f>E52/D52-1</f>
        <v>1.3136288998357948E-2</v>
      </c>
      <c r="F53" s="728">
        <f t="shared" ref="F53:G53" si="3">F52/E52-1</f>
        <v>0.12965964343598047</v>
      </c>
      <c r="G53" s="728">
        <f t="shared" si="3"/>
        <v>0.10329985652797702</v>
      </c>
      <c r="H53" s="728">
        <f>G53</f>
        <v>0.10329985652797702</v>
      </c>
      <c r="I53" s="1559"/>
    </row>
    <row r="54" spans="1:9" ht="47.25">
      <c r="A54" s="1570"/>
      <c r="B54" s="1568">
        <v>5</v>
      </c>
      <c r="C54" s="1574" t="s">
        <v>1285</v>
      </c>
      <c r="D54" s="1577">
        <f>1+R26</f>
        <v>1.01669449081803</v>
      </c>
      <c r="E54" s="1577">
        <f>1+R27</f>
        <v>1.0131362889983579</v>
      </c>
      <c r="F54" s="1577">
        <f>1+R28</f>
        <v>1.1296596434359805</v>
      </c>
      <c r="G54" s="1577">
        <f>1+R29</f>
        <v>1.103299856527977</v>
      </c>
      <c r="H54" s="1577">
        <f>1+R29</f>
        <v>1.103299856527977</v>
      </c>
      <c r="I54" s="1559"/>
    </row>
    <row r="55" spans="1:9" ht="15.75">
      <c r="A55" s="1562"/>
      <c r="B55" s="1568">
        <v>6</v>
      </c>
      <c r="C55" s="1574" t="s">
        <v>1492</v>
      </c>
      <c r="D55" s="1567">
        <f>D50*D51*D54%</f>
        <v>107.20110119944587</v>
      </c>
      <c r="E55" s="1567">
        <f>E50*E51*E54%</f>
        <v>109.52546102937376</v>
      </c>
      <c r="F55" s="1567">
        <f>F50*F51*F54%</f>
        <v>122.6273887854872</v>
      </c>
      <c r="G55" s="1567">
        <f>G50*G51*G54%</f>
        <v>120.12925274845419</v>
      </c>
      <c r="H55" s="1567">
        <f>H50*H51*H54%</f>
        <v>121.12386120851995</v>
      </c>
      <c r="I55" s="1559"/>
    </row>
    <row r="56" spans="1:9" ht="32.25" customHeight="1">
      <c r="A56" s="1562"/>
      <c r="B56" s="2060" t="s">
        <v>1493</v>
      </c>
      <c r="C56" s="2061"/>
      <c r="D56" s="2061"/>
      <c r="E56" s="2061"/>
      <c r="F56" s="2061"/>
      <c r="G56" s="2061"/>
      <c r="H56" s="2062"/>
      <c r="I56" s="1559"/>
    </row>
    <row r="57" spans="1:9" ht="21" customHeight="1">
      <c r="A57" s="1562"/>
      <c r="B57" s="1583"/>
      <c r="C57" s="1584"/>
      <c r="D57" s="1584"/>
      <c r="E57" s="1584"/>
      <c r="F57" s="1584"/>
      <c r="G57" s="1584"/>
      <c r="H57" s="1584"/>
      <c r="I57" s="1559"/>
    </row>
    <row r="58" spans="1:9" ht="14.25" customHeight="1">
      <c r="A58" s="1562"/>
      <c r="B58" s="1557"/>
      <c r="C58" s="1557"/>
      <c r="D58" s="1557"/>
      <c r="E58" s="1557"/>
      <c r="F58" s="1557"/>
      <c r="G58" s="1557"/>
      <c r="H58" s="1557"/>
      <c r="I58" s="1559"/>
    </row>
    <row r="59" spans="1:9" ht="15.75">
      <c r="A59" s="1562"/>
      <c r="B59" s="2054" t="s">
        <v>916</v>
      </c>
      <c r="C59" s="2054"/>
      <c r="D59" s="2054"/>
      <c r="E59" s="2054"/>
      <c r="F59" s="2054"/>
      <c r="G59" s="1628"/>
      <c r="H59" s="1557"/>
      <c r="I59" s="1559"/>
    </row>
    <row r="60" spans="1:9" ht="23.25" customHeight="1">
      <c r="A60" s="1562"/>
      <c r="B60" s="2055" t="s">
        <v>1487</v>
      </c>
      <c r="C60" s="2055"/>
      <c r="D60" s="2055"/>
      <c r="E60" s="2055"/>
      <c r="F60" s="2055"/>
      <c r="G60" s="1628"/>
      <c r="H60" s="1557"/>
      <c r="I60" s="1559"/>
    </row>
    <row r="61" spans="1:9" ht="15.75">
      <c r="A61" s="1562"/>
      <c r="B61" s="1580"/>
      <c r="C61" s="1579"/>
      <c r="D61" s="1561"/>
      <c r="E61" s="1561" t="s">
        <v>1505</v>
      </c>
      <c r="F61" s="1557"/>
      <c r="G61" s="1561"/>
      <c r="H61" s="1557"/>
      <c r="I61" s="1559"/>
    </row>
    <row r="62" spans="1:9" ht="15.75">
      <c r="A62" s="1562"/>
      <c r="B62" s="1563" t="s">
        <v>850</v>
      </c>
      <c r="C62" s="1564" t="s">
        <v>649</v>
      </c>
      <c r="D62" s="1565" t="s">
        <v>401</v>
      </c>
      <c r="E62" s="1565" t="s">
        <v>402</v>
      </c>
      <c r="F62" s="1557"/>
      <c r="G62" s="1561"/>
      <c r="H62" s="1557"/>
      <c r="I62" s="1559"/>
    </row>
    <row r="63" spans="1:9" ht="15.75">
      <c r="A63" s="1562"/>
      <c r="B63" s="1563">
        <v>1</v>
      </c>
      <c r="C63" s="1566" t="s">
        <v>917</v>
      </c>
      <c r="D63" s="1567">
        <f>D16</f>
        <v>32.93816613183229</v>
      </c>
      <c r="E63" s="1567">
        <f>E16</f>
        <v>29.521767976278728</v>
      </c>
      <c r="F63" s="1557"/>
      <c r="G63" s="1561"/>
      <c r="H63" s="1557"/>
      <c r="I63" s="1559"/>
    </row>
    <row r="64" spans="1:9" ht="15.75">
      <c r="A64" s="1562"/>
      <c r="B64" s="1557"/>
      <c r="C64" s="1557"/>
      <c r="D64" s="1557"/>
      <c r="E64" s="1557"/>
      <c r="F64" s="1557"/>
      <c r="G64" s="1557"/>
      <c r="H64" s="1557"/>
      <c r="I64" s="1559"/>
    </row>
    <row r="65" spans="1:9" ht="15.75">
      <c r="A65" s="1570"/>
      <c r="B65" s="1557"/>
      <c r="C65" s="1557"/>
      <c r="D65" s="1557"/>
      <c r="E65" s="1557"/>
      <c r="F65" s="1557"/>
      <c r="G65" s="1557"/>
      <c r="H65" s="1557"/>
      <c r="I65" s="1559"/>
    </row>
    <row r="66" spans="1:9" ht="31.5">
      <c r="A66" s="1570"/>
      <c r="B66" s="1568" t="s">
        <v>850</v>
      </c>
      <c r="C66" s="1571" t="s">
        <v>649</v>
      </c>
      <c r="D66" s="1572" t="s">
        <v>904</v>
      </c>
      <c r="E66" s="1572" t="s">
        <v>903</v>
      </c>
      <c r="F66" s="1572" t="s">
        <v>905</v>
      </c>
      <c r="G66" s="1572" t="s">
        <v>906</v>
      </c>
      <c r="H66" s="1572" t="s">
        <v>907</v>
      </c>
      <c r="I66" s="1559"/>
    </row>
    <row r="67" spans="1:9" ht="31.5">
      <c r="A67" s="1570"/>
      <c r="B67" s="1568">
        <v>1</v>
      </c>
      <c r="C67" s="1574" t="s">
        <v>1347</v>
      </c>
      <c r="D67" s="1567">
        <f>AVERAGE(D63:E63)</f>
        <v>31.229967054055507</v>
      </c>
      <c r="E67" s="1567">
        <f>D73</f>
        <v>32.341467663297678</v>
      </c>
      <c r="F67" s="1567">
        <f t="shared" ref="F67:H67" si="4">E73</f>
        <v>33.383955998805938</v>
      </c>
      <c r="G67" s="1567">
        <f t="shared" si="4"/>
        <v>36.604510289099736</v>
      </c>
      <c r="H67" s="1567">
        <f t="shared" si="4"/>
        <v>39.653308297426861</v>
      </c>
      <c r="I67" s="1559"/>
    </row>
    <row r="68" spans="1:9" ht="15.75">
      <c r="A68" s="1570"/>
      <c r="B68" s="1568">
        <v>2</v>
      </c>
      <c r="C68" s="1566" t="s">
        <v>909</v>
      </c>
      <c r="D68" s="728">
        <f>D53</f>
        <v>1.6694490818029983E-2</v>
      </c>
      <c r="E68" s="728">
        <f t="shared" ref="E68:H68" si="5">E53</f>
        <v>1.3136288998357948E-2</v>
      </c>
      <c r="F68" s="728">
        <f t="shared" si="5"/>
        <v>0.12965964343598047</v>
      </c>
      <c r="G68" s="728">
        <f t="shared" si="5"/>
        <v>0.10329985652797702</v>
      </c>
      <c r="H68" s="728">
        <f t="shared" si="5"/>
        <v>0.10329985652797702</v>
      </c>
      <c r="I68" s="1559"/>
    </row>
    <row r="69" spans="1:9" ht="15.75">
      <c r="A69" s="1570"/>
      <c r="B69" s="1568">
        <v>3</v>
      </c>
      <c r="C69" s="1566" t="s">
        <v>914</v>
      </c>
      <c r="D69" s="728">
        <f>D29</f>
        <v>5.4487179487179516E-2</v>
      </c>
      <c r="E69" s="728">
        <f t="shared" ref="E69:H69" si="6">E29</f>
        <v>5.1331306990881398E-2</v>
      </c>
      <c r="F69" s="728">
        <f t="shared" si="6"/>
        <v>6.3280599500416423E-2</v>
      </c>
      <c r="G69" s="728">
        <f t="shared" si="6"/>
        <v>6.3280599500416423E-2</v>
      </c>
      <c r="H69" s="728">
        <f t="shared" si="6"/>
        <v>6.3280599500416423E-2</v>
      </c>
      <c r="I69" s="1559"/>
    </row>
    <row r="70" spans="1:9" ht="15.75">
      <c r="A70" s="1570"/>
      <c r="B70" s="1568">
        <v>4</v>
      </c>
      <c r="C70" s="1574" t="s">
        <v>918</v>
      </c>
      <c r="D70" s="728">
        <f>AVERAGE(D68,D69)</f>
        <v>3.559083515260475E-2</v>
      </c>
      <c r="E70" s="728">
        <f t="shared" ref="E70:H70" si="7">AVERAGE(E68,E69)</f>
        <v>3.2233797994619673E-2</v>
      </c>
      <c r="F70" s="728">
        <f t="shared" si="7"/>
        <v>9.6470121468198444E-2</v>
      </c>
      <c r="G70" s="728">
        <f t="shared" si="7"/>
        <v>8.3290228014196721E-2</v>
      </c>
      <c r="H70" s="728">
        <f t="shared" si="7"/>
        <v>8.3290228014196721E-2</v>
      </c>
      <c r="I70" s="1559"/>
    </row>
    <row r="71" spans="1:9" ht="15.75">
      <c r="A71" s="1570"/>
      <c r="B71" s="1568">
        <v>5</v>
      </c>
      <c r="C71" s="1574" t="s">
        <v>1287</v>
      </c>
      <c r="D71" s="1577">
        <f>1+D70</f>
        <v>1.0355908351526049</v>
      </c>
      <c r="E71" s="1577">
        <f t="shared" ref="E71:H71" si="8">1+E70</f>
        <v>1.0322337979946197</v>
      </c>
      <c r="F71" s="1577">
        <f t="shared" si="8"/>
        <v>1.0964701214681984</v>
      </c>
      <c r="G71" s="1577">
        <f t="shared" si="8"/>
        <v>1.0832902280141967</v>
      </c>
      <c r="H71" s="1577">
        <f t="shared" si="8"/>
        <v>1.0832902280141967</v>
      </c>
      <c r="I71" s="1559"/>
    </row>
    <row r="72" spans="1:9" ht="15.75">
      <c r="A72" s="1570"/>
      <c r="B72" s="1568">
        <v>6</v>
      </c>
      <c r="C72" s="1574" t="s">
        <v>1288</v>
      </c>
      <c r="D72" s="1567">
        <f>D67*0%</f>
        <v>0</v>
      </c>
      <c r="E72" s="1567">
        <f t="shared" ref="E72:F72" si="9">E67*0%</f>
        <v>0</v>
      </c>
      <c r="F72" s="1567">
        <f t="shared" si="9"/>
        <v>0</v>
      </c>
      <c r="G72" s="1578">
        <v>0</v>
      </c>
      <c r="H72" s="1578">
        <v>0</v>
      </c>
      <c r="I72" s="1585"/>
    </row>
    <row r="73" spans="1:9" ht="31.5">
      <c r="A73" s="1570"/>
      <c r="B73" s="1568">
        <v>7</v>
      </c>
      <c r="C73" s="1574" t="s">
        <v>1487</v>
      </c>
      <c r="D73" s="1567">
        <f>D67*D71+D72</f>
        <v>32.341467663297678</v>
      </c>
      <c r="E73" s="1567">
        <f t="shared" ref="E73:H73" si="10">E67*E71+E72</f>
        <v>33.383955998805938</v>
      </c>
      <c r="F73" s="1567">
        <f t="shared" si="10"/>
        <v>36.604510289099736</v>
      </c>
      <c r="G73" s="1567">
        <f t="shared" si="10"/>
        <v>39.653308297426861</v>
      </c>
      <c r="H73" s="1567">
        <f t="shared" si="10"/>
        <v>42.956041387036784</v>
      </c>
      <c r="I73" s="1559"/>
    </row>
    <row r="74" spans="1:9" ht="15.75">
      <c r="A74" s="1570"/>
      <c r="B74" s="1579"/>
      <c r="C74" s="1561"/>
      <c r="D74" s="1561"/>
      <c r="E74" s="1561"/>
      <c r="F74" s="1561"/>
      <c r="G74" s="1557"/>
      <c r="H74" s="1557"/>
      <c r="I74" s="1559"/>
    </row>
    <row r="75" spans="1:9" ht="15.75">
      <c r="A75" s="1570"/>
      <c r="B75" s="2050" t="s">
        <v>919</v>
      </c>
      <c r="C75" s="2050"/>
      <c r="D75" s="1561"/>
      <c r="E75" s="1561"/>
      <c r="F75" s="1561"/>
      <c r="G75" s="1557"/>
      <c r="H75" s="1557"/>
      <c r="I75" s="1559"/>
    </row>
    <row r="76" spans="1:9" ht="15.75">
      <c r="A76" s="1570"/>
      <c r="B76" s="1579"/>
      <c r="C76" s="1561"/>
      <c r="D76" s="1561"/>
      <c r="E76" s="1561"/>
      <c r="F76" s="1561"/>
      <c r="G76" s="1557"/>
      <c r="H76" s="1561" t="s">
        <v>1505</v>
      </c>
      <c r="I76" s="1559"/>
    </row>
    <row r="77" spans="1:9" ht="31.5">
      <c r="A77" s="1570"/>
      <c r="B77" s="1571" t="s">
        <v>850</v>
      </c>
      <c r="C77" s="1567" t="s">
        <v>649</v>
      </c>
      <c r="D77" s="1572" t="s">
        <v>904</v>
      </c>
      <c r="E77" s="1572" t="s">
        <v>903</v>
      </c>
      <c r="F77" s="1572" t="s">
        <v>905</v>
      </c>
      <c r="G77" s="1572" t="s">
        <v>906</v>
      </c>
      <c r="H77" s="1572" t="s">
        <v>907</v>
      </c>
      <c r="I77" s="1559"/>
    </row>
    <row r="78" spans="1:9" ht="15.75">
      <c r="A78" s="1570"/>
      <c r="B78" s="1586">
        <v>1</v>
      </c>
      <c r="C78" s="1574" t="s">
        <v>920</v>
      </c>
      <c r="D78" s="1567">
        <f>D55</f>
        <v>107.20110119944587</v>
      </c>
      <c r="E78" s="1567">
        <f>E55</f>
        <v>109.52546102937376</v>
      </c>
      <c r="F78" s="1567">
        <f>F55</f>
        <v>122.6273887854872</v>
      </c>
      <c r="G78" s="1567">
        <f>G55</f>
        <v>120.12925274845419</v>
      </c>
      <c r="H78" s="1567">
        <f>H55</f>
        <v>121.12386120851995</v>
      </c>
      <c r="I78" s="1559"/>
    </row>
    <row r="79" spans="1:9" ht="15.75">
      <c r="A79" s="1570"/>
      <c r="B79" s="1586">
        <v>2</v>
      </c>
      <c r="C79" s="1574" t="s">
        <v>915</v>
      </c>
      <c r="D79" s="1567">
        <f>D32</f>
        <v>92.79536460598257</v>
      </c>
      <c r="E79" s="1567">
        <f t="shared" ref="E79:H79" si="11">E32</f>
        <v>97.55867195390303</v>
      </c>
      <c r="F79" s="1567">
        <f t="shared" si="11"/>
        <v>103.73224320161047</v>
      </c>
      <c r="G79" s="1567">
        <f t="shared" si="11"/>
        <v>114.44577146699579</v>
      </c>
      <c r="H79" s="1567">
        <f t="shared" si="11"/>
        <v>126.26579935439477</v>
      </c>
      <c r="I79" s="1559"/>
    </row>
    <row r="80" spans="1:9" ht="15.75">
      <c r="A80" s="1570"/>
      <c r="B80" s="1586">
        <v>3</v>
      </c>
      <c r="C80" s="1574" t="s">
        <v>921</v>
      </c>
      <c r="D80" s="1567">
        <f>D73</f>
        <v>32.341467663297678</v>
      </c>
      <c r="E80" s="1567">
        <f>E73</f>
        <v>33.383955998805938</v>
      </c>
      <c r="F80" s="1567">
        <f>F73</f>
        <v>36.604510289099736</v>
      </c>
      <c r="G80" s="1567">
        <f>G73</f>
        <v>39.653308297426861</v>
      </c>
      <c r="H80" s="1567">
        <f>H73</f>
        <v>42.956041387036784</v>
      </c>
      <c r="I80" s="1559"/>
    </row>
    <row r="81" spans="1:9" ht="31.5">
      <c r="A81" s="1562"/>
      <c r="B81" s="1586">
        <v>4</v>
      </c>
      <c r="C81" s="1574" t="s">
        <v>922</v>
      </c>
      <c r="D81" s="1567">
        <f>0.99*(D78+D79+D80)</f>
        <v>230.01455413403886</v>
      </c>
      <c r="E81" s="1567">
        <f>0.99*(E78+E79+E80)</f>
        <v>238.06340809226188</v>
      </c>
      <c r="F81" s="1567">
        <f>0.99*(F78+F79+F80)</f>
        <v>260.33450085343543</v>
      </c>
      <c r="G81" s="1567">
        <f>0.99*(G78+G79+G80)</f>
        <v>271.48604918774805</v>
      </c>
      <c r="H81" s="1567">
        <f>0.99*(H78+H79+H80)</f>
        <v>287.44224493045203</v>
      </c>
      <c r="I81" s="1559"/>
    </row>
    <row r="82" spans="1:9" ht="98.25" customHeight="1">
      <c r="A82" s="1556"/>
      <c r="B82" s="2047" t="s">
        <v>1091</v>
      </c>
      <c r="C82" s="1572" t="s">
        <v>1289</v>
      </c>
      <c r="D82" s="1567">
        <f>P40-P41</f>
        <v>0.67434946660230999</v>
      </c>
      <c r="E82" s="1567">
        <f>Q40-Q41</f>
        <v>14.622094089697201</v>
      </c>
      <c r="F82" s="1567">
        <f>R40-R41</f>
        <v>19.993943981983616</v>
      </c>
      <c r="G82" s="1567">
        <f>F82</f>
        <v>19.993943981983616</v>
      </c>
      <c r="H82" s="1567">
        <f>G82</f>
        <v>19.993943981983616</v>
      </c>
      <c r="I82" s="1559"/>
    </row>
    <row r="83" spans="1:9" ht="15.75">
      <c r="A83" s="1556"/>
      <c r="B83" s="2048"/>
      <c r="C83" s="1587" t="s">
        <v>1244</v>
      </c>
      <c r="D83" s="1567">
        <v>3.78</v>
      </c>
      <c r="E83" s="1567">
        <v>7.22</v>
      </c>
      <c r="F83" s="1567">
        <v>7.83</v>
      </c>
      <c r="G83" s="1567">
        <f t="shared" ref="G83:H84" si="12">F83</f>
        <v>7.83</v>
      </c>
      <c r="H83" s="1567">
        <f t="shared" si="12"/>
        <v>7.83</v>
      </c>
      <c r="I83" s="1559"/>
    </row>
    <row r="84" spans="1:9" ht="15.75">
      <c r="A84" s="1556"/>
      <c r="B84" s="2049"/>
      <c r="C84" s="1587" t="s">
        <v>1092</v>
      </c>
      <c r="D84" s="1567">
        <f>[8]Sheet1!$I$11/10^7</f>
        <v>2.0359335820000002</v>
      </c>
      <c r="E84" s="1567">
        <f>[8]Sheet1!$I$21/10^7</f>
        <v>2.019310881</v>
      </c>
      <c r="F84" s="1567">
        <f>[8]Sheet1!$I$47/10^7</f>
        <v>10.867005267000001</v>
      </c>
      <c r="G84" s="1567">
        <f t="shared" si="12"/>
        <v>10.867005267000001</v>
      </c>
      <c r="H84" s="1567">
        <f t="shared" si="12"/>
        <v>10.867005267000001</v>
      </c>
      <c r="I84" s="1559"/>
    </row>
    <row r="85" spans="1:9" ht="15.75">
      <c r="A85" s="1556"/>
      <c r="B85" s="1588">
        <v>5</v>
      </c>
      <c r="C85" s="1589" t="s">
        <v>1243</v>
      </c>
      <c r="D85" s="1590">
        <f>SUM(D81:D84)</f>
        <v>236.50483718264118</v>
      </c>
      <c r="E85" s="1590">
        <f t="shared" ref="E85:H85" si="13">SUM(E81:E84)</f>
        <v>261.92481306295912</v>
      </c>
      <c r="F85" s="1590">
        <f t="shared" si="13"/>
        <v>299.02545010241903</v>
      </c>
      <c r="G85" s="1590">
        <f t="shared" si="13"/>
        <v>310.17699843673165</v>
      </c>
      <c r="H85" s="1590">
        <f t="shared" si="13"/>
        <v>326.13319417943563</v>
      </c>
      <c r="I85" s="1559"/>
    </row>
    <row r="86" spans="1:9" ht="15.75">
      <c r="A86" s="1556"/>
      <c r="B86" s="1588">
        <v>6</v>
      </c>
      <c r="C86" s="1587" t="s">
        <v>1291</v>
      </c>
      <c r="D86" s="1567">
        <v>227.65389931199996</v>
      </c>
      <c r="E86" s="1567">
        <v>249.95072485999998</v>
      </c>
      <c r="F86" s="1567">
        <v>281.76497764699991</v>
      </c>
      <c r="G86" s="1567">
        <v>300.8</v>
      </c>
      <c r="H86" s="1567">
        <f>G86*1.05</f>
        <v>315.84000000000003</v>
      </c>
      <c r="I86" s="1559"/>
    </row>
    <row r="87" spans="1:9" ht="31.5">
      <c r="A87" s="1556"/>
      <c r="B87" s="1588">
        <v>7</v>
      </c>
      <c r="C87" s="1589" t="s">
        <v>1290</v>
      </c>
      <c r="D87" s="1590">
        <f>D86-D85</f>
        <v>-8.8509378706412178</v>
      </c>
      <c r="E87" s="1590">
        <f t="shared" ref="E87:H87" si="14">E86-E85</f>
        <v>-11.974088202959138</v>
      </c>
      <c r="F87" s="1590">
        <f t="shared" si="14"/>
        <v>-17.260472455419119</v>
      </c>
      <c r="G87" s="1590">
        <f t="shared" si="14"/>
        <v>-9.3769984367316397</v>
      </c>
      <c r="H87" s="1590">
        <f t="shared" si="14"/>
        <v>-10.293194179435602</v>
      </c>
      <c r="I87" s="1559"/>
    </row>
    <row r="88" spans="1:9" ht="15.75">
      <c r="A88" s="1556"/>
      <c r="B88" s="793"/>
      <c r="C88" s="1557"/>
      <c r="D88" s="1557"/>
      <c r="E88" s="1557"/>
      <c r="F88" s="1557"/>
      <c r="G88" s="1557"/>
      <c r="H88" s="1557"/>
      <c r="I88" s="1559"/>
    </row>
    <row r="89" spans="1:9" ht="15.75">
      <c r="A89" s="1556"/>
      <c r="B89" s="1591" t="s">
        <v>1292</v>
      </c>
      <c r="C89" s="793"/>
      <c r="D89" s="1592"/>
      <c r="E89" s="1592"/>
      <c r="F89" s="1592"/>
      <c r="G89" s="1592"/>
      <c r="H89" s="1592"/>
      <c r="I89" s="1559"/>
    </row>
    <row r="90" spans="1:9" ht="41.25" customHeight="1" thickBot="1">
      <c r="A90" s="1593"/>
      <c r="B90" s="1594"/>
      <c r="C90" s="1594"/>
      <c r="D90" s="1595"/>
      <c r="E90" s="1595"/>
      <c r="F90" s="1595"/>
      <c r="G90" s="1595"/>
      <c r="H90" s="794" t="s">
        <v>758</v>
      </c>
      <c r="I90" s="1596"/>
    </row>
    <row r="91" spans="1:9">
      <c r="B91" s="420"/>
      <c r="C91" s="420"/>
      <c r="D91" s="737"/>
      <c r="E91" s="737"/>
      <c r="F91" s="737"/>
      <c r="G91" s="737"/>
      <c r="H91" s="737"/>
      <c r="I91" s="788"/>
    </row>
    <row r="92" spans="1:9" ht="18.75">
      <c r="B92" s="735"/>
      <c r="C92" s="735"/>
      <c r="D92" s="735"/>
      <c r="E92" s="735"/>
      <c r="F92" s="735"/>
      <c r="G92" s="735"/>
      <c r="H92" s="735"/>
    </row>
    <row r="93" spans="1:9" ht="70.5" customHeight="1"/>
    <row r="189" spans="14:14">
      <c r="N189" s="697"/>
    </row>
    <row r="190" spans="14:14">
      <c r="N190" s="697"/>
    </row>
    <row r="191" spans="14:14">
      <c r="N191" s="697"/>
    </row>
    <row r="202" spans="17:17">
      <c r="Q202" s="698"/>
    </row>
  </sheetData>
  <mergeCells count="11">
    <mergeCell ref="B82:B84"/>
    <mergeCell ref="B75:C75"/>
    <mergeCell ref="A4:I4"/>
    <mergeCell ref="B23:F23"/>
    <mergeCell ref="B24:F24"/>
    <mergeCell ref="B36:E36"/>
    <mergeCell ref="B59:F59"/>
    <mergeCell ref="B60:F60"/>
    <mergeCell ref="B33:H33"/>
    <mergeCell ref="B38:C38"/>
    <mergeCell ref="B56:H56"/>
  </mergeCells>
  <phoneticPr fontId="157" type="noConversion"/>
  <pageMargins left="0.70866141732283505" right="0.70866141732283505" top="0.74803149606299202" bottom="1.07" header="0.31496062992126" footer="0.31496062992126"/>
  <pageSetup scale="51"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AG55"/>
  <sheetViews>
    <sheetView topLeftCell="A28" zoomScale="115" zoomScaleNormal="115" workbookViewId="0">
      <selection activeCell="H14" sqref="H14"/>
    </sheetView>
  </sheetViews>
  <sheetFormatPr defaultColWidth="9.33203125" defaultRowHeight="15.75"/>
  <cols>
    <col min="1" max="1" width="9.83203125" style="520" customWidth="1"/>
    <col min="2" max="2" width="33" style="520" customWidth="1"/>
    <col min="3" max="3" width="24.33203125" style="520" customWidth="1"/>
    <col min="4" max="4" width="18.33203125" style="520" hidden="1" customWidth="1"/>
    <col min="5" max="5" width="15.83203125" style="520" hidden="1" customWidth="1"/>
    <col min="6" max="6" width="14.5" style="520" hidden="1" customWidth="1"/>
    <col min="7" max="7" width="14" style="520" hidden="1" customWidth="1"/>
    <col min="8" max="12" width="15.5" style="520" customWidth="1"/>
    <col min="13" max="18" width="0" style="520" hidden="1" customWidth="1"/>
    <col min="19" max="19" width="21" style="520" hidden="1" customWidth="1"/>
    <col min="20" max="20" width="17.33203125" style="520" hidden="1" customWidth="1"/>
    <col min="21" max="38" width="0" style="520" hidden="1" customWidth="1"/>
    <col min="39" max="16384" width="9.33203125" style="520"/>
  </cols>
  <sheetData>
    <row r="1" spans="1:33">
      <c r="A1" s="546"/>
      <c r="B1" s="547"/>
      <c r="C1" s="547"/>
      <c r="D1" s="547"/>
      <c r="E1" s="547"/>
      <c r="F1" s="547"/>
      <c r="G1" s="547"/>
      <c r="H1" s="547"/>
      <c r="I1" s="547"/>
      <c r="J1" s="547"/>
      <c r="K1" s="547"/>
      <c r="L1" s="1236"/>
    </row>
    <row r="2" spans="1:33">
      <c r="A2" s="543"/>
      <c r="B2" s="785"/>
      <c r="C2" s="785"/>
      <c r="D2" s="785"/>
      <c r="E2" s="785"/>
      <c r="F2" s="785"/>
      <c r="G2" s="785"/>
      <c r="H2" s="785"/>
      <c r="I2" s="785"/>
      <c r="J2" s="785"/>
      <c r="K2" s="912" t="s">
        <v>372</v>
      </c>
      <c r="L2" s="525"/>
    </row>
    <row r="3" spans="1:33">
      <c r="A3" s="543"/>
      <c r="B3" s="785"/>
      <c r="C3" s="785"/>
      <c r="D3" s="785"/>
      <c r="E3" s="785"/>
      <c r="F3" s="785"/>
      <c r="G3" s="785"/>
      <c r="H3" s="785"/>
      <c r="I3" s="785"/>
      <c r="J3" s="785"/>
      <c r="K3" s="970" t="s">
        <v>406</v>
      </c>
      <c r="L3" s="525"/>
    </row>
    <row r="4" spans="1:33" ht="22.5" customHeight="1">
      <c r="A4" s="1721" t="s">
        <v>1081</v>
      </c>
      <c r="B4" s="1720"/>
      <c r="C4" s="1720"/>
      <c r="D4" s="1720"/>
      <c r="E4" s="1720"/>
      <c r="F4" s="1720"/>
      <c r="G4" s="1720"/>
      <c r="H4" s="1720"/>
      <c r="I4" s="1720"/>
      <c r="J4" s="1720"/>
      <c r="K4" s="1720"/>
      <c r="L4" s="1722"/>
    </row>
    <row r="5" spans="1:33" ht="12" customHeight="1">
      <c r="A5" s="1424"/>
      <c r="B5" s="1425"/>
      <c r="C5" s="1425"/>
      <c r="D5" s="1425"/>
      <c r="E5" s="1425"/>
      <c r="F5" s="1425"/>
      <c r="G5" s="1425"/>
      <c r="H5" s="785"/>
      <c r="I5" s="785"/>
      <c r="J5" s="785"/>
      <c r="K5" s="785"/>
      <c r="L5" s="525"/>
      <c r="M5" s="496"/>
    </row>
    <row r="6" spans="1:33" ht="18.75" customHeight="1">
      <c r="A6" s="475" t="s">
        <v>405</v>
      </c>
      <c r="B6" s="1426"/>
      <c r="C6" s="1726" t="s">
        <v>841</v>
      </c>
      <c r="D6" s="1726"/>
      <c r="E6" s="1726"/>
      <c r="F6" s="1726"/>
      <c r="G6" s="1726"/>
      <c r="H6" s="1726"/>
      <c r="I6" s="1726"/>
      <c r="J6" s="1726"/>
      <c r="K6" s="1726"/>
      <c r="L6" s="1727"/>
    </row>
    <row r="7" spans="1:33" ht="21" customHeight="1">
      <c r="A7" s="476" t="s">
        <v>404</v>
      </c>
      <c r="B7" s="1427"/>
      <c r="C7" s="1726" t="s">
        <v>415</v>
      </c>
      <c r="D7" s="1726"/>
      <c r="E7" s="1726"/>
      <c r="F7" s="1726"/>
      <c r="G7" s="1726"/>
      <c r="H7" s="1726"/>
      <c r="I7" s="1726"/>
      <c r="J7" s="1726"/>
      <c r="K7" s="1726"/>
      <c r="L7" s="1727"/>
    </row>
    <row r="8" spans="1:33">
      <c r="A8" s="543"/>
      <c r="B8" s="785"/>
      <c r="C8" s="785"/>
      <c r="D8" s="785"/>
      <c r="E8" s="785"/>
      <c r="F8" s="785"/>
      <c r="G8" s="785"/>
      <c r="H8" s="785"/>
      <c r="I8" s="785"/>
      <c r="J8" s="785"/>
      <c r="K8" s="785"/>
      <c r="L8" s="525"/>
    </row>
    <row r="9" spans="1:33" ht="18" customHeight="1">
      <c r="A9" s="544" t="s">
        <v>843</v>
      </c>
      <c r="B9" s="970" t="s">
        <v>407</v>
      </c>
      <c r="C9" s="785"/>
      <c r="D9" s="785"/>
      <c r="E9" s="785"/>
      <c r="F9" s="785"/>
      <c r="G9" s="970"/>
      <c r="H9" s="785"/>
      <c r="I9" s="785"/>
      <c r="J9" s="785"/>
      <c r="K9" s="785"/>
      <c r="L9" s="525"/>
    </row>
    <row r="10" spans="1:33" ht="14.25" customHeight="1">
      <c r="A10" s="971" t="s">
        <v>844</v>
      </c>
      <c r="B10" s="970" t="s">
        <v>505</v>
      </c>
      <c r="C10" s="785"/>
      <c r="D10" s="785"/>
      <c r="E10" s="785"/>
      <c r="F10" s="785"/>
      <c r="G10" s="785"/>
      <c r="H10" s="785"/>
      <c r="I10" s="785"/>
      <c r="J10" s="785"/>
      <c r="K10" s="785"/>
      <c r="L10" s="525"/>
    </row>
    <row r="11" spans="1:33" ht="16.5" customHeight="1">
      <c r="A11" s="543"/>
      <c r="B11" s="785"/>
      <c r="C11" s="785"/>
      <c r="D11" s="785"/>
      <c r="E11" s="785"/>
      <c r="F11" s="785"/>
      <c r="G11" s="785"/>
      <c r="H11" s="785"/>
      <c r="I11" s="785"/>
      <c r="J11" s="785"/>
      <c r="K11" s="912" t="s">
        <v>835</v>
      </c>
      <c r="L11" s="1428"/>
    </row>
    <row r="12" spans="1:33" ht="48.75" customHeight="1">
      <c r="A12" s="1351" t="s">
        <v>846</v>
      </c>
      <c r="B12" s="1352" t="s">
        <v>376</v>
      </c>
      <c r="C12" s="1352" t="s">
        <v>521</v>
      </c>
      <c r="D12" s="1352" t="s">
        <v>399</v>
      </c>
      <c r="E12" s="1352" t="s">
        <v>400</v>
      </c>
      <c r="F12" s="1352" t="s">
        <v>401</v>
      </c>
      <c r="G12" s="1352" t="s">
        <v>402</v>
      </c>
      <c r="H12" s="1352" t="s">
        <v>856</v>
      </c>
      <c r="I12" s="1352" t="s">
        <v>857</v>
      </c>
      <c r="J12" s="1349" t="s">
        <v>858</v>
      </c>
      <c r="K12" s="1352" t="s">
        <v>859</v>
      </c>
      <c r="L12" s="474" t="s">
        <v>860</v>
      </c>
    </row>
    <row r="13" spans="1:33" ht="19.899999999999999" customHeight="1">
      <c r="A13" s="506">
        <v>1</v>
      </c>
      <c r="B13" s="1429">
        <v>2</v>
      </c>
      <c r="C13" s="741">
        <v>3</v>
      </c>
      <c r="D13" s="1430">
        <v>4</v>
      </c>
      <c r="E13" s="1429">
        <v>5</v>
      </c>
      <c r="F13" s="1429">
        <v>6</v>
      </c>
      <c r="G13" s="1429">
        <v>7</v>
      </c>
      <c r="H13" s="1429">
        <v>4</v>
      </c>
      <c r="I13" s="1429">
        <v>5</v>
      </c>
      <c r="J13" s="1431">
        <v>6</v>
      </c>
      <c r="K13" s="1429">
        <v>7</v>
      </c>
      <c r="L13" s="1432">
        <v>8</v>
      </c>
      <c r="AC13" s="1433">
        <f>I21+J21+K21+L21+'Loan Refinance'!J29</f>
        <v>6612.862975302749</v>
      </c>
      <c r="AE13" s="1433" t="e">
        <f>AD21+AE21+AF21+AG21+#REF!+#REF!</f>
        <v>#REF!</v>
      </c>
    </row>
    <row r="14" spans="1:33" ht="25.9" customHeight="1">
      <c r="A14" s="1350">
        <v>1</v>
      </c>
      <c r="B14" s="783" t="s">
        <v>756</v>
      </c>
      <c r="C14" s="545"/>
      <c r="D14" s="392"/>
      <c r="E14" s="393"/>
      <c r="F14" s="391"/>
      <c r="G14" s="447"/>
      <c r="H14" s="521"/>
      <c r="I14" s="521"/>
      <c r="J14" s="825"/>
      <c r="K14" s="521"/>
      <c r="L14" s="522"/>
    </row>
    <row r="15" spans="1:33" ht="18" customHeight="1">
      <c r="A15" s="738">
        <v>1.1000000000000001</v>
      </c>
      <c r="B15" s="826" t="s">
        <v>410</v>
      </c>
      <c r="C15" s="1434" t="s">
        <v>408</v>
      </c>
      <c r="D15" s="828">
        <f>'Form-11'!B29</f>
        <v>33.829735395433573</v>
      </c>
      <c r="E15" s="828">
        <f>'Form-11'!C29</f>
        <v>114.73812466010006</v>
      </c>
      <c r="F15" s="828">
        <f>'Form-11'!D29</f>
        <v>358.97099344049604</v>
      </c>
      <c r="G15" s="827">
        <f>'Form-11'!E29</f>
        <v>382.77563649803272</v>
      </c>
      <c r="H15" s="827">
        <f>'Form-11'!F29</f>
        <v>405.2222555035155</v>
      </c>
      <c r="I15" s="827">
        <f>'Form-11'!G29</f>
        <v>411.2651103528367</v>
      </c>
      <c r="J15" s="827">
        <f>'Form-11'!H29</f>
        <v>412.788794430564</v>
      </c>
      <c r="K15" s="827">
        <f>'Form-11'!I29</f>
        <v>415.12532782132183</v>
      </c>
      <c r="L15" s="914">
        <f>'Form-11'!J29</f>
        <v>416.83675511138483</v>
      </c>
      <c r="N15" s="521">
        <v>400.36333612000004</v>
      </c>
      <c r="O15" s="521">
        <v>400.35559080000002</v>
      </c>
      <c r="P15" s="521">
        <v>400.35559080000002</v>
      </c>
      <c r="Q15" s="521">
        <v>400.35559080000002</v>
      </c>
      <c r="R15" s="521">
        <v>400.35559080000002</v>
      </c>
      <c r="AC15" s="520">
        <v>402.07717306182212</v>
      </c>
      <c r="AD15" s="520">
        <v>405.13291417438359</v>
      </c>
      <c r="AE15" s="520">
        <v>406.56712372961852</v>
      </c>
      <c r="AF15" s="520">
        <v>407.23572266124648</v>
      </c>
      <c r="AG15" s="520">
        <v>407.23572266124648</v>
      </c>
    </row>
    <row r="16" spans="1:33" ht="18" customHeight="1">
      <c r="A16" s="738">
        <v>1.2</v>
      </c>
      <c r="B16" s="826" t="s">
        <v>383</v>
      </c>
      <c r="C16" s="1434" t="s">
        <v>748</v>
      </c>
      <c r="D16" s="828">
        <f>Form13B!D22</f>
        <v>53.027297463773266</v>
      </c>
      <c r="E16" s="828">
        <f>Form13B!E22</f>
        <v>150.46213381870984</v>
      </c>
      <c r="F16" s="828">
        <f>Form13B!F22</f>
        <v>424.74388345191886</v>
      </c>
      <c r="G16" s="827">
        <f>Form13B!G22</f>
        <v>411.78049436740355</v>
      </c>
      <c r="H16" s="827">
        <f>Form13B!H22</f>
        <v>418.68963457600984</v>
      </c>
      <c r="I16" s="827">
        <f>Form13B!I22+Form13B!J22</f>
        <v>414.87793302508368</v>
      </c>
      <c r="J16" s="827">
        <f>Form13B!L22</f>
        <v>374.90328950122415</v>
      </c>
      <c r="K16" s="827">
        <f>Form13B!M22</f>
        <v>335.92282123872343</v>
      </c>
      <c r="L16" s="914">
        <f>Form13B!N22</f>
        <v>295.8728546830128</v>
      </c>
      <c r="N16" s="521">
        <v>395.83073230141991</v>
      </c>
      <c r="O16" s="521">
        <v>359.24188093581057</v>
      </c>
      <c r="P16" s="521">
        <v>322.65338349259855</v>
      </c>
      <c r="Q16" s="521">
        <v>286.06488604938659</v>
      </c>
      <c r="R16" s="521">
        <v>249.47638860617457</v>
      </c>
      <c r="AC16" s="520">
        <v>413.75882113597811</v>
      </c>
      <c r="AD16" s="520">
        <v>407.05836837737701</v>
      </c>
      <c r="AE16" s="520">
        <v>367.71391942234521</v>
      </c>
      <c r="AF16" s="520">
        <v>327.09014472531391</v>
      </c>
      <c r="AG16" s="520">
        <v>285.56873620826156</v>
      </c>
    </row>
    <row r="17" spans="1:33" ht="18" customHeight="1">
      <c r="A17" s="738">
        <v>1.3</v>
      </c>
      <c r="B17" s="826" t="s">
        <v>1064</v>
      </c>
      <c r="C17" s="1434" t="s">
        <v>749</v>
      </c>
      <c r="D17" s="828">
        <f>'Form 13A'!C27</f>
        <v>38.567261214381993</v>
      </c>
      <c r="E17" s="828">
        <f>'Form 13A'!D27</f>
        <v>130.80608444876339</v>
      </c>
      <c r="F17" s="828">
        <f>'Form 13A'!E27</f>
        <v>410.25343249427914</v>
      </c>
      <c r="G17" s="828">
        <f>'Form 13A'!F27</f>
        <v>440.69908221797334</v>
      </c>
      <c r="H17" s="828">
        <f>'Form 13A'!G27</f>
        <v>441.92037887244322</v>
      </c>
      <c r="I17" s="828">
        <f>'Form 13A'!H27</f>
        <v>494.47080754449979</v>
      </c>
      <c r="J17" s="828">
        <f>'Form 13A'!I27</f>
        <v>496.2428102714079</v>
      </c>
      <c r="K17" s="828">
        <f>'Form 13A'!J27</f>
        <v>499.05172347779023</v>
      </c>
      <c r="L17" s="914">
        <f>'Form 13A'!K27</f>
        <v>501.10915211794418</v>
      </c>
      <c r="N17" s="521">
        <v>436.39571065067241</v>
      </c>
      <c r="O17" s="521">
        <v>436.39571065067241</v>
      </c>
      <c r="P17" s="521">
        <v>436.39571065067241</v>
      </c>
      <c r="Q17" s="521">
        <v>436.39571065067241</v>
      </c>
      <c r="R17" s="521">
        <v>436.39571065067241</v>
      </c>
      <c r="AC17" s="520">
        <v>556.37376034052159</v>
      </c>
      <c r="AD17" s="520">
        <v>487.11154573479212</v>
      </c>
      <c r="AE17" s="520">
        <v>488.88389644117433</v>
      </c>
      <c r="AF17" s="520">
        <v>489.63574141471503</v>
      </c>
      <c r="AG17" s="520">
        <v>489.63574141471503</v>
      </c>
    </row>
    <row r="18" spans="1:33" ht="18" customHeight="1">
      <c r="A18" s="738">
        <v>1.4</v>
      </c>
      <c r="B18" s="826" t="s">
        <v>411</v>
      </c>
      <c r="C18" s="1434" t="s">
        <v>409</v>
      </c>
      <c r="D18" s="827"/>
      <c r="E18" s="827"/>
      <c r="F18" s="827"/>
      <c r="G18" s="827"/>
      <c r="H18" s="827">
        <f>'Form 14'!G25</f>
        <v>90.17719165851274</v>
      </c>
      <c r="I18" s="827">
        <f>'Form 14'!H25</f>
        <v>75.856559110034269</v>
      </c>
      <c r="J18" s="827">
        <f>'Form 14'!I25</f>
        <v>78.836071440668334</v>
      </c>
      <c r="K18" s="827">
        <f>'Form 14'!J25</f>
        <v>91.898408933165754</v>
      </c>
      <c r="L18" s="914">
        <f>'Form 14'!K25</f>
        <v>94.571471303420807</v>
      </c>
      <c r="N18" s="521">
        <v>80.39899085251119</v>
      </c>
      <c r="O18" s="521">
        <v>80.041731864364266</v>
      </c>
      <c r="P18" s="521">
        <v>79.839654974781936</v>
      </c>
      <c r="Q18" s="521">
        <v>79.655603025554598</v>
      </c>
      <c r="R18" s="521">
        <v>79.628117199302764</v>
      </c>
      <c r="AC18" s="520">
        <v>96.361259389626539</v>
      </c>
      <c r="AD18" s="520">
        <v>82.708362316083537</v>
      </c>
      <c r="AE18" s="520">
        <v>78.899696900709259</v>
      </c>
      <c r="AF18" s="520">
        <v>82.657021247505554</v>
      </c>
      <c r="AG18" s="520">
        <v>90.456312832482411</v>
      </c>
    </row>
    <row r="19" spans="1:33" ht="18" customHeight="1">
      <c r="A19" s="738">
        <v>1.5</v>
      </c>
      <c r="B19" s="826" t="s">
        <v>412</v>
      </c>
      <c r="C19" s="1434" t="s">
        <v>750</v>
      </c>
      <c r="D19" s="828"/>
      <c r="E19" s="828"/>
      <c r="F19" s="828"/>
      <c r="G19" s="827"/>
      <c r="H19" s="827">
        <f>'Form 16-O&amp;M (2)'!D86</f>
        <v>227.65389931199996</v>
      </c>
      <c r="I19" s="827">
        <f>'Form 16-O&amp;M (2)'!E86</f>
        <v>249.95072485999998</v>
      </c>
      <c r="J19" s="827">
        <f>'Form 16-O&amp;M (2)'!F86</f>
        <v>281.76497764699991</v>
      </c>
      <c r="K19" s="827">
        <f>'Form 16-O&amp;M (2)'!G86</f>
        <v>300.8</v>
      </c>
      <c r="L19" s="914">
        <f>'Form 16-O&amp;M (2)'!H86</f>
        <v>315.84000000000003</v>
      </c>
      <c r="N19" s="521">
        <v>204.18270276173916</v>
      </c>
      <c r="O19" s="521">
        <v>212.94793914549814</v>
      </c>
      <c r="P19" s="521">
        <v>222.09020604860751</v>
      </c>
      <c r="Q19" s="521">
        <v>231.62575134654489</v>
      </c>
      <c r="R19" s="521">
        <v>241.57152431457652</v>
      </c>
      <c r="AC19" s="520">
        <v>242.54942869924588</v>
      </c>
      <c r="AD19" s="520">
        <v>266.90784997200166</v>
      </c>
      <c r="AE19" s="520">
        <v>290.62910076591874</v>
      </c>
      <c r="AF19" s="520">
        <v>255.76002596828033</v>
      </c>
      <c r="AG19" s="520">
        <v>264.17685147933662</v>
      </c>
    </row>
    <row r="20" spans="1:33" ht="18" customHeight="1">
      <c r="A20" s="738">
        <v>1.6</v>
      </c>
      <c r="B20" s="829" t="s">
        <v>1259</v>
      </c>
      <c r="C20" s="1435" t="s">
        <v>1413</v>
      </c>
      <c r="D20" s="827"/>
      <c r="E20" s="827"/>
      <c r="F20" s="827"/>
      <c r="G20" s="827"/>
      <c r="H20" s="827">
        <f>'ARR-Actual'!C46</f>
        <v>2.0976917960000003</v>
      </c>
      <c r="I20" s="827">
        <f>'ARR-Actual'!D46</f>
        <v>5.7287601690000001</v>
      </c>
      <c r="J20" s="827">
        <f>'ARR-Actual'!E46</f>
        <v>7.2111917730000039</v>
      </c>
      <c r="K20" s="827">
        <f>'ARR-Actual'!F46/100</f>
        <v>5.0125479126666681</v>
      </c>
      <c r="L20" s="827">
        <f>'ARR-Actual'!G46/100</f>
        <v>5.0125479126666681</v>
      </c>
      <c r="N20" s="521">
        <v>17.920000000000002</v>
      </c>
      <c r="O20" s="521">
        <v>17.920000000000002</v>
      </c>
      <c r="P20" s="521">
        <v>17.920000000000002</v>
      </c>
      <c r="Q20" s="521">
        <v>17.920000000000002</v>
      </c>
      <c r="R20" s="521">
        <v>17.920000000000002</v>
      </c>
      <c r="AC20" s="520">
        <v>2.1</v>
      </c>
      <c r="AD20" s="520">
        <v>5.73</v>
      </c>
      <c r="AE20" s="520">
        <v>7.21</v>
      </c>
      <c r="AF20" s="520">
        <v>6.5173333333333332</v>
      </c>
      <c r="AG20" s="520">
        <v>6.5173333333333332</v>
      </c>
    </row>
    <row r="21" spans="1:33" ht="18" customHeight="1">
      <c r="A21" s="740"/>
      <c r="B21" s="831" t="s">
        <v>413</v>
      </c>
      <c r="C21" s="832"/>
      <c r="D21" s="833">
        <f t="shared" ref="D21:L21" si="0">SUM(D15:D19)-D20</f>
        <v>125.42429407358884</v>
      </c>
      <c r="E21" s="833">
        <f t="shared" si="0"/>
        <v>396.00634292757331</v>
      </c>
      <c r="F21" s="833">
        <f t="shared" si="0"/>
        <v>1193.968309386694</v>
      </c>
      <c r="G21" s="833">
        <f t="shared" si="0"/>
        <v>1235.2552130834097</v>
      </c>
      <c r="H21" s="833">
        <f t="shared" si="0"/>
        <v>1581.5656681264816</v>
      </c>
      <c r="I21" s="833">
        <f t="shared" si="0"/>
        <v>1640.6923747234546</v>
      </c>
      <c r="J21" s="833">
        <f t="shared" si="0"/>
        <v>1637.3247515178643</v>
      </c>
      <c r="K21" s="833">
        <f t="shared" si="0"/>
        <v>1637.7857335583344</v>
      </c>
      <c r="L21" s="915">
        <f t="shared" si="0"/>
        <v>1619.2176853030962</v>
      </c>
      <c r="N21" s="268">
        <v>1499.2514726863426</v>
      </c>
      <c r="O21" s="268">
        <v>1471.0628533963454</v>
      </c>
      <c r="P21" s="268">
        <v>1443.4145459666606</v>
      </c>
      <c r="Q21" s="268">
        <v>1416.1775418721586</v>
      </c>
      <c r="R21" s="268">
        <v>1389.5073315707261</v>
      </c>
      <c r="AC21" s="520">
        <v>1709.0204426271944</v>
      </c>
      <c r="AD21" s="520">
        <v>1643.1890405746381</v>
      </c>
      <c r="AE21" s="520">
        <v>1625.483737259766</v>
      </c>
      <c r="AF21" s="520">
        <v>1555.8613226837281</v>
      </c>
      <c r="AG21" s="520">
        <v>1530.5560312627088</v>
      </c>
    </row>
    <row r="22" spans="1:33" ht="18" customHeight="1">
      <c r="A22" s="740"/>
      <c r="B22" s="831"/>
      <c r="C22" s="832"/>
      <c r="D22" s="833"/>
      <c r="E22" s="833"/>
      <c r="F22" s="833"/>
      <c r="G22" s="833"/>
      <c r="H22" s="833"/>
      <c r="I22" s="833"/>
      <c r="J22" s="833"/>
      <c r="K22" s="833"/>
      <c r="L22" s="915"/>
      <c r="N22" s="970"/>
      <c r="O22" s="970"/>
      <c r="P22" s="970"/>
      <c r="Q22" s="970"/>
      <c r="R22" s="970"/>
    </row>
    <row r="23" spans="1:33" ht="18" customHeight="1">
      <c r="A23" s="543"/>
      <c r="B23" s="785"/>
      <c r="C23" s="785"/>
      <c r="D23" s="785"/>
      <c r="E23" s="785"/>
      <c r="F23" s="785"/>
      <c r="G23" s="785"/>
      <c r="H23" s="1436"/>
      <c r="I23" s="1436"/>
      <c r="J23" s="1436"/>
      <c r="K23" s="1436"/>
      <c r="L23" s="1437"/>
      <c r="N23" s="1433">
        <f>H17-N17</f>
        <v>5.5246682217708099</v>
      </c>
      <c r="O23" s="1433">
        <f>I17-O17</f>
        <v>58.075096893827379</v>
      </c>
      <c r="P23" s="1433">
        <f>J17-P17</f>
        <v>59.847099620735491</v>
      </c>
      <c r="Q23" s="1433">
        <f>K17-Q17</f>
        <v>62.65601282711782</v>
      </c>
      <c r="R23" s="1433">
        <f>L17-R17</f>
        <v>64.713441467271764</v>
      </c>
    </row>
    <row r="24" spans="1:33" ht="18" customHeight="1">
      <c r="A24" s="506">
        <v>2</v>
      </c>
      <c r="B24" s="1438" t="s">
        <v>1478</v>
      </c>
      <c r="C24" s="523"/>
      <c r="D24" s="523"/>
      <c r="E24" s="523"/>
      <c r="F24" s="523"/>
      <c r="G24" s="1439"/>
      <c r="H24" s="827"/>
      <c r="I24" s="827"/>
      <c r="J24" s="827"/>
      <c r="K24" s="827"/>
      <c r="L24" s="914"/>
      <c r="N24" s="1433">
        <f>H17-N17</f>
        <v>5.5246682217708099</v>
      </c>
      <c r="O24" s="1433">
        <f>I17-O17</f>
        <v>58.075096893827379</v>
      </c>
      <c r="P24" s="1433">
        <f>J17-P17</f>
        <v>59.847099620735491</v>
      </c>
      <c r="Q24" s="1433">
        <f>K17-Q17</f>
        <v>62.65601282711782</v>
      </c>
      <c r="R24" s="1433">
        <f>L17-R17</f>
        <v>64.713441467271764</v>
      </c>
      <c r="S24" s="741"/>
      <c r="T24" s="741"/>
      <c r="U24" s="523" t="s">
        <v>1274</v>
      </c>
      <c r="W24" s="1433">
        <f t="shared" ref="W24" si="1">N24</f>
        <v>5.5246682217708099</v>
      </c>
      <c r="X24" s="1433">
        <f t="shared" ref="X24" si="2">O24</f>
        <v>58.075096893827379</v>
      </c>
      <c r="Y24" s="1433">
        <f t="shared" ref="Y24" si="3">P24</f>
        <v>59.847099620735491</v>
      </c>
      <c r="Z24" s="1433">
        <f t="shared" ref="Z24" si="4">Q24</f>
        <v>62.65601282711782</v>
      </c>
      <c r="AA24" s="1433">
        <f t="shared" ref="AA24" si="5">R24</f>
        <v>64.713441467271764</v>
      </c>
      <c r="AE24" s="1433" t="e">
        <f>#REF!+#REF!</f>
        <v>#REF!</v>
      </c>
    </row>
    <row r="25" spans="1:33" ht="32.25" customHeight="1">
      <c r="A25" s="508">
        <v>2.1</v>
      </c>
      <c r="B25" s="830" t="s">
        <v>1270</v>
      </c>
      <c r="C25" s="1728" t="s">
        <v>1272</v>
      </c>
      <c r="D25" s="1440">
        <v>2.3220000000000001</v>
      </c>
      <c r="E25" s="1440">
        <v>2.3220000000000001</v>
      </c>
      <c r="F25" s="1440">
        <v>2.3220000000000001</v>
      </c>
      <c r="G25" s="1440">
        <v>2.3220000000000001</v>
      </c>
      <c r="H25" s="1441">
        <f>ROUND('Energy Charges'!D41/(1-'Energy Charges'!D31)/100,3)</f>
        <v>2.8580000000000001</v>
      </c>
      <c r="I25" s="1441">
        <f>ROUND('Energy Charges'!E41/(1-'Energy Charges'!E31)/100,3)</f>
        <v>2.577</v>
      </c>
      <c r="J25" s="1441">
        <f>ROUND('Energy Charges'!F41/(1-'Energy Charges'!F31)/100,3)</f>
        <v>2.7240000000000002</v>
      </c>
      <c r="K25" s="1441">
        <f>ROUND('Energy Charges'!G41/(1-'Energy Charges'!G31)/100,3)</f>
        <v>3.1349999999999998</v>
      </c>
      <c r="L25" s="1442">
        <f>ROUND('Energy Charges'!H41/(1-'Energy Charges'!H31)/100,3)</f>
        <v>3.1349999999999998</v>
      </c>
      <c r="N25" s="1433">
        <f t="shared" ref="N25:R27" si="6">H19-N19</f>
        <v>23.4711965502608</v>
      </c>
      <c r="O25" s="1433">
        <f t="shared" si="6"/>
        <v>37.00278571450184</v>
      </c>
      <c r="P25" s="1433">
        <f t="shared" si="6"/>
        <v>59.674771598392397</v>
      </c>
      <c r="Q25" s="1433">
        <f t="shared" si="6"/>
        <v>69.174248653455123</v>
      </c>
      <c r="R25" s="1433">
        <f t="shared" si="6"/>
        <v>74.26847568542351</v>
      </c>
      <c r="S25" s="521"/>
      <c r="T25" s="741" t="s">
        <v>1238</v>
      </c>
      <c r="U25" s="521"/>
    </row>
    <row r="26" spans="1:33" ht="33" customHeight="1">
      <c r="A26" s="508">
        <v>2.2000000000000002</v>
      </c>
      <c r="B26" s="830" t="s">
        <v>414</v>
      </c>
      <c r="C26" s="1729"/>
      <c r="D26" s="1440">
        <v>2.3000000000000131E-2</v>
      </c>
      <c r="E26" s="1440">
        <v>2.3000000000000131E-2</v>
      </c>
      <c r="F26" s="1440">
        <v>2.3000000000000131E-2</v>
      </c>
      <c r="G26" s="1440">
        <v>2.3000000000000131E-2</v>
      </c>
      <c r="H26" s="1441">
        <f>H27-H25</f>
        <v>1.0000000000000231E-2</v>
      </c>
      <c r="I26" s="1441">
        <f t="shared" ref="I26:L26" si="7">I27-I25</f>
        <v>1.1000000000000121E-2</v>
      </c>
      <c r="J26" s="1441">
        <f t="shared" si="7"/>
        <v>5.9999999999997833E-3</v>
      </c>
      <c r="K26" s="1441">
        <f t="shared" si="7"/>
        <v>3.2000000000000028E-2</v>
      </c>
      <c r="L26" s="1442">
        <f t="shared" si="7"/>
        <v>3.2000000000000028E-2</v>
      </c>
      <c r="N26" s="1433">
        <f t="shared" si="6"/>
        <v>-15.822308204000002</v>
      </c>
      <c r="O26" s="1433">
        <f t="shared" si="6"/>
        <v>-12.191239831000001</v>
      </c>
      <c r="P26" s="1433">
        <f t="shared" si="6"/>
        <v>-10.708808226999999</v>
      </c>
      <c r="Q26" s="1433">
        <f t="shared" si="6"/>
        <v>-12.907452087333333</v>
      </c>
      <c r="R26" s="1433">
        <f t="shared" si="6"/>
        <v>-12.907452087333333</v>
      </c>
      <c r="S26" s="521"/>
      <c r="T26" s="741" t="s">
        <v>1238</v>
      </c>
      <c r="U26" s="521"/>
    </row>
    <row r="27" spans="1:33" ht="30.75" customHeight="1">
      <c r="A27" s="508">
        <v>2.2999999999999998</v>
      </c>
      <c r="B27" s="830" t="s">
        <v>1271</v>
      </c>
      <c r="C27" s="1730"/>
      <c r="D27" s="1443">
        <f>D25+D26</f>
        <v>2.3450000000000002</v>
      </c>
      <c r="E27" s="1443">
        <f>D27</f>
        <v>2.3450000000000002</v>
      </c>
      <c r="F27" s="1443">
        <f t="shared" ref="F27:G27" si="8">E27</f>
        <v>2.3450000000000002</v>
      </c>
      <c r="G27" s="1444">
        <f t="shared" si="8"/>
        <v>2.3450000000000002</v>
      </c>
      <c r="H27" s="1445">
        <f>'Energy Charges'!D42/100</f>
        <v>2.8680000000000003</v>
      </c>
      <c r="I27" s="1445">
        <f>'Energy Charges'!E42/100</f>
        <v>2.5880000000000001</v>
      </c>
      <c r="J27" s="1445">
        <f>'Energy Charges'!F42/100</f>
        <v>2.73</v>
      </c>
      <c r="K27" s="1445">
        <f>'Energy Charges'!G42/100</f>
        <v>3.1669999999999998</v>
      </c>
      <c r="L27" s="1446">
        <f>'Energy Charges'!H42/100</f>
        <v>3.1669999999999998</v>
      </c>
      <c r="N27" s="1433">
        <f t="shared" si="6"/>
        <v>82.314195440138974</v>
      </c>
      <c r="O27" s="1433">
        <f t="shared" si="6"/>
        <v>169.62952132710916</v>
      </c>
      <c r="P27" s="1433">
        <f t="shared" si="6"/>
        <v>193.91020555120372</v>
      </c>
      <c r="Q27" s="1433">
        <f t="shared" si="6"/>
        <v>221.60819168617581</v>
      </c>
      <c r="R27" s="1433">
        <f t="shared" si="6"/>
        <v>229.71035373237009</v>
      </c>
      <c r="S27" s="521"/>
      <c r="T27" s="1447"/>
      <c r="U27" s="521"/>
    </row>
    <row r="28" spans="1:33" ht="18" customHeight="1">
      <c r="A28" s="508"/>
      <c r="B28" s="874"/>
      <c r="C28" s="1448"/>
      <c r="D28" s="1443"/>
      <c r="E28" s="1443"/>
      <c r="F28" s="1443"/>
      <c r="G28" s="1444"/>
      <c r="H28" s="1441"/>
      <c r="I28" s="1441"/>
      <c r="J28" s="1441"/>
      <c r="K28" s="1441"/>
      <c r="L28" s="1442"/>
      <c r="N28" s="1433"/>
      <c r="O28" s="1433"/>
      <c r="P28" s="1433"/>
      <c r="Q28" s="1433"/>
      <c r="R28" s="1433"/>
      <c r="S28" s="785"/>
      <c r="T28" s="1449"/>
      <c r="U28" s="785"/>
    </row>
    <row r="29" spans="1:33" ht="18.75" customHeight="1">
      <c r="A29" s="784">
        <v>3</v>
      </c>
      <c r="B29" s="1450" t="s">
        <v>1264</v>
      </c>
      <c r="C29" s="1435" t="s">
        <v>1269</v>
      </c>
      <c r="D29" s="827"/>
      <c r="E29" s="827"/>
      <c r="F29" s="827"/>
      <c r="G29" s="827"/>
      <c r="H29" s="827">
        <v>0</v>
      </c>
      <c r="I29" s="827">
        <f>'Loan Refinance'!I35:J35</f>
        <v>43.046291075894565</v>
      </c>
      <c r="J29" s="827">
        <f>'Loan Refinance'!L35</f>
        <v>-68.6998506746815</v>
      </c>
      <c r="K29" s="827">
        <f>'Loan Refinance'!M35</f>
        <v>-60.670249732830662</v>
      </c>
      <c r="L29" s="914">
        <f>'Loan Refinance'!N35</f>
        <v>-51.552285634207458</v>
      </c>
    </row>
    <row r="30" spans="1:33" ht="18.75" customHeight="1">
      <c r="A30" s="738"/>
      <c r="B30" s="826"/>
      <c r="C30" s="1435"/>
      <c r="D30" s="827"/>
      <c r="E30" s="827"/>
      <c r="F30" s="827"/>
      <c r="G30" s="827"/>
      <c r="H30" s="827"/>
      <c r="I30" s="827"/>
      <c r="J30" s="827"/>
      <c r="K30" s="827"/>
      <c r="L30" s="914"/>
    </row>
    <row r="31" spans="1:33" ht="18.75" customHeight="1">
      <c r="A31" s="784">
        <v>4</v>
      </c>
      <c r="B31" s="1438" t="s">
        <v>488</v>
      </c>
      <c r="C31" s="1435"/>
      <c r="D31" s="827"/>
      <c r="E31" s="827"/>
      <c r="F31" s="827"/>
      <c r="G31" s="827"/>
      <c r="H31" s="827"/>
      <c r="I31" s="827"/>
      <c r="J31" s="827"/>
      <c r="K31" s="827"/>
      <c r="L31" s="914"/>
    </row>
    <row r="32" spans="1:33" ht="27" customHeight="1">
      <c r="A32" s="507">
        <v>4.0999999999999996</v>
      </c>
      <c r="B32" s="826" t="s">
        <v>1017</v>
      </c>
      <c r="C32" s="1451" t="s">
        <v>1017</v>
      </c>
      <c r="D32" s="1452"/>
      <c r="E32" s="1452"/>
      <c r="F32" s="1452"/>
      <c r="G32" s="1356"/>
      <c r="H32" s="1354">
        <f>Incentive!E17</f>
        <v>11.336529999999948</v>
      </c>
      <c r="I32" s="1354">
        <f>Incentive!F17</f>
        <v>0</v>
      </c>
      <c r="J32" s="1354">
        <f>Incentive!G17</f>
        <v>19.306949999999961</v>
      </c>
      <c r="K32" s="1354">
        <f>Incentive!H17</f>
        <v>0</v>
      </c>
      <c r="L32" s="1133">
        <f>Incentive!I17</f>
        <v>0</v>
      </c>
    </row>
    <row r="33" spans="1:19" ht="48.75" customHeight="1">
      <c r="A33" s="507">
        <v>4.2</v>
      </c>
      <c r="B33" s="1453" t="s">
        <v>1329</v>
      </c>
      <c r="C33" s="1451" t="s">
        <v>1348</v>
      </c>
      <c r="D33" s="1452"/>
      <c r="E33" s="1452"/>
      <c r="F33" s="1452"/>
      <c r="G33" s="1452"/>
      <c r="H33" s="402">
        <f>'Water charges and filling fees'!D16/100</f>
        <v>3.8049352000000005</v>
      </c>
      <c r="I33" s="402">
        <f>'Water charges and filling fees'!E16/100</f>
        <v>1.8161856000000001</v>
      </c>
      <c r="J33" s="402">
        <f>'Water charges and filling fees'!F16/100</f>
        <v>2.3151700000000002</v>
      </c>
      <c r="K33" s="402">
        <v>0</v>
      </c>
      <c r="L33" s="1133">
        <v>0</v>
      </c>
    </row>
    <row r="34" spans="1:19" ht="48.75" customHeight="1">
      <c r="A34" s="763"/>
      <c r="B34" s="1454"/>
      <c r="C34" s="1455"/>
      <c r="D34" s="1456"/>
      <c r="E34" s="1456"/>
      <c r="F34" s="1456"/>
      <c r="G34" s="1456"/>
      <c r="H34" s="1457"/>
      <c r="I34" s="1457"/>
      <c r="J34" s="1457"/>
      <c r="K34" s="1457"/>
      <c r="L34" s="1458"/>
    </row>
    <row r="35" spans="1:19" ht="38.25" customHeight="1">
      <c r="A35" s="1723" t="s">
        <v>1479</v>
      </c>
      <c r="B35" s="1724"/>
      <c r="C35" s="1724"/>
      <c r="D35" s="1724"/>
      <c r="E35" s="1724"/>
      <c r="F35" s="1724"/>
      <c r="G35" s="1724"/>
      <c r="H35" s="1724"/>
      <c r="I35" s="1724"/>
      <c r="J35" s="1724"/>
      <c r="K35" s="1724"/>
      <c r="L35" s="1725"/>
    </row>
    <row r="36" spans="1:19" ht="43.5" customHeight="1">
      <c r="A36" s="1723" t="s">
        <v>1372</v>
      </c>
      <c r="B36" s="1724"/>
      <c r="C36" s="1724"/>
      <c r="D36" s="1724"/>
      <c r="E36" s="1724"/>
      <c r="F36" s="1724"/>
      <c r="G36" s="1724"/>
      <c r="H36" s="1724"/>
      <c r="I36" s="1724"/>
      <c r="J36" s="1724"/>
      <c r="K36" s="1724"/>
      <c r="L36" s="1725"/>
    </row>
    <row r="37" spans="1:19" ht="32.25" customHeight="1">
      <c r="A37" s="1723" t="s">
        <v>1236</v>
      </c>
      <c r="B37" s="1724"/>
      <c r="C37" s="1724"/>
      <c r="D37" s="1724"/>
      <c r="E37" s="1724"/>
      <c r="F37" s="1724"/>
      <c r="G37" s="1724"/>
      <c r="H37" s="1724"/>
      <c r="I37" s="1724"/>
      <c r="J37" s="1724"/>
      <c r="K37" s="1724"/>
      <c r="L37" s="1725"/>
      <c r="P37" s="520" t="s">
        <v>1241</v>
      </c>
    </row>
    <row r="38" spans="1:19" ht="18.75" customHeight="1">
      <c r="A38" s="543"/>
      <c r="B38" s="785"/>
      <c r="C38" s="785"/>
      <c r="D38" s="785"/>
      <c r="E38" s="785"/>
      <c r="F38" s="785"/>
      <c r="G38" s="785"/>
      <c r="H38" s="785"/>
      <c r="I38" s="785"/>
      <c r="J38" s="785"/>
      <c r="K38" s="785"/>
      <c r="L38" s="525"/>
      <c r="N38" s="520" t="s">
        <v>1278</v>
      </c>
    </row>
    <row r="39" spans="1:19">
      <c r="A39" s="543"/>
      <c r="B39" s="785"/>
      <c r="C39" s="785"/>
      <c r="D39" s="785"/>
      <c r="E39" s="1459"/>
      <c r="F39" s="785"/>
      <c r="G39" s="785"/>
      <c r="H39" s="785"/>
      <c r="I39" s="785"/>
      <c r="J39" s="1720" t="s">
        <v>700</v>
      </c>
      <c r="K39" s="1720"/>
      <c r="L39" s="525"/>
      <c r="N39" s="520" t="s">
        <v>1240</v>
      </c>
    </row>
    <row r="40" spans="1:19" ht="16.5" thickBot="1">
      <c r="A40" s="548"/>
      <c r="B40" s="526"/>
      <c r="C40" s="526"/>
      <c r="D40" s="526"/>
      <c r="E40" s="526"/>
      <c r="F40" s="526"/>
      <c r="G40" s="526"/>
      <c r="H40" s="526"/>
      <c r="I40" s="526"/>
      <c r="J40" s="526"/>
      <c r="K40" s="526"/>
      <c r="L40" s="527"/>
    </row>
    <row r="41" spans="1:19">
      <c r="N41" s="1433">
        <f>H29</f>
        <v>0</v>
      </c>
      <c r="O41" s="1433">
        <f>I29</f>
        <v>43.046291075894565</v>
      </c>
      <c r="P41" s="1433">
        <f>J29</f>
        <v>-68.6998506746815</v>
      </c>
      <c r="Q41" s="1433">
        <f>K29</f>
        <v>-60.670249732830662</v>
      </c>
      <c r="R41" s="1433">
        <f>L29</f>
        <v>-51.552285634207458</v>
      </c>
    </row>
    <row r="42" spans="1:19" hidden="1">
      <c r="N42" s="1433">
        <f>-'[5]Energy Charges'!$F$83*1/3</f>
        <v>1.6461448794076812</v>
      </c>
      <c r="O42" s="1433">
        <f>-'[5]Energy Charges'!$H$83*2/3</f>
        <v>-6.6659078070689857</v>
      </c>
      <c r="P42" s="1433">
        <f>-'[5]Energy Charges'!$J$83*2/3</f>
        <v>-5.5395724357440486</v>
      </c>
      <c r="Q42" s="520">
        <v>0</v>
      </c>
      <c r="R42" s="520">
        <v>0</v>
      </c>
      <c r="S42" s="520" t="s">
        <v>1242</v>
      </c>
    </row>
    <row r="43" spans="1:19" hidden="1"/>
    <row r="44" spans="1:19" hidden="1">
      <c r="C44" s="1460" t="s">
        <v>836</v>
      </c>
      <c r="D44" s="1461" t="e">
        <f>D21+#REF!</f>
        <v>#REF!</v>
      </c>
      <c r="E44" s="1461" t="e">
        <f>E21+#REF!</f>
        <v>#REF!</v>
      </c>
      <c r="F44" s="1461" t="e">
        <f>F21+#REF!</f>
        <v>#REF!</v>
      </c>
      <c r="G44" s="1461" t="e">
        <f>G21+#REF!</f>
        <v>#REF!</v>
      </c>
      <c r="H44" s="1461">
        <f>H21</f>
        <v>1581.5656681264816</v>
      </c>
      <c r="I44" s="1461">
        <f>I21</f>
        <v>1640.6923747234546</v>
      </c>
      <c r="J44" s="1461">
        <f>J21</f>
        <v>1637.3247515178643</v>
      </c>
      <c r="K44" s="1461">
        <f>K21</f>
        <v>1637.7857335583344</v>
      </c>
      <c r="L44" s="1461">
        <f>L21</f>
        <v>1619.2176853030962</v>
      </c>
      <c r="N44" s="1433">
        <f>N27+N41+N42</f>
        <v>83.96034031954666</v>
      </c>
      <c r="O44" s="1433">
        <f>O27+O41+O42</f>
        <v>206.00990459593476</v>
      </c>
      <c r="P44" s="1433">
        <f>P27+P41+P42</f>
        <v>119.67078244077817</v>
      </c>
      <c r="Q44" s="1433">
        <f>Q27+Q41+Q42</f>
        <v>160.93794195334516</v>
      </c>
      <c r="R44" s="1433">
        <f>R27+R41+R42</f>
        <v>178.15806809816263</v>
      </c>
    </row>
    <row r="45" spans="1:19" hidden="1">
      <c r="C45" s="1460" t="s">
        <v>513</v>
      </c>
      <c r="D45" s="1462">
        <f>'Form 14'!C32</f>
        <v>784.42191780821918</v>
      </c>
      <c r="E45" s="1462">
        <f>'Form 14'!D32</f>
        <v>2768.5479452054797</v>
      </c>
      <c r="F45" s="1462">
        <f>'Form 14'!E32</f>
        <v>8421</v>
      </c>
      <c r="G45" s="1462">
        <f>'Form 14'!F32</f>
        <v>8421</v>
      </c>
      <c r="H45" s="1461">
        <f>'ARR-Actual'!C49</f>
        <v>8671.2289999999994</v>
      </c>
      <c r="I45" s="1461">
        <f>'ARR-Actual'!D49</f>
        <v>6895.3293599999997</v>
      </c>
      <c r="J45" s="1461">
        <f>'ARR-Actual'!E49</f>
        <v>8807.5649999999987</v>
      </c>
      <c r="K45" s="1461">
        <f>'ARR-Actual'!F49</f>
        <v>8421.4259999999995</v>
      </c>
      <c r="L45" s="1461">
        <f>'ARR-Actual'!G49</f>
        <v>8444.4984000000004</v>
      </c>
    </row>
    <row r="46" spans="1:19" hidden="1">
      <c r="C46" s="1460" t="s">
        <v>837</v>
      </c>
      <c r="D46" s="1461">
        <f>D21*10/D45</f>
        <v>1.5989391834440483</v>
      </c>
      <c r="E46" s="1461">
        <f>E21*10/E45</f>
        <v>1.4303756003697528</v>
      </c>
      <c r="F46" s="1461">
        <f>F21*10/F45</f>
        <v>1.4178462289356302</v>
      </c>
      <c r="G46" s="1461">
        <f>G21*10/G45</f>
        <v>1.4668747335036334</v>
      </c>
      <c r="H46" s="1461">
        <f>H44/(H45/10)</f>
        <v>1.8239233079030455</v>
      </c>
      <c r="I46" s="1461">
        <f t="shared" ref="I46:L46" si="9">I44/(I45/10)</f>
        <v>2.3794256794188215</v>
      </c>
      <c r="J46" s="1461">
        <f t="shared" si="9"/>
        <v>1.8589982038371158</v>
      </c>
      <c r="K46" s="1461">
        <f t="shared" si="9"/>
        <v>1.9447843317252145</v>
      </c>
      <c r="L46" s="1461">
        <f t="shared" si="9"/>
        <v>1.917482375629435</v>
      </c>
    </row>
    <row r="47" spans="1:19" hidden="1">
      <c r="C47" s="1460" t="s">
        <v>1001</v>
      </c>
      <c r="D47" s="1460"/>
      <c r="E47" s="1460"/>
      <c r="F47" s="1460"/>
      <c r="G47" s="1460"/>
      <c r="H47" s="1461">
        <f>H27</f>
        <v>2.8680000000000003</v>
      </c>
      <c r="I47" s="1461">
        <f>I27</f>
        <v>2.5880000000000001</v>
      </c>
      <c r="J47" s="1461">
        <f>J27</f>
        <v>2.73</v>
      </c>
      <c r="K47" s="1461">
        <f>K27</f>
        <v>3.1669999999999998</v>
      </c>
      <c r="L47" s="1461">
        <f>L27</f>
        <v>3.1669999999999998</v>
      </c>
    </row>
    <row r="48" spans="1:19" hidden="1">
      <c r="C48" s="1460" t="s">
        <v>1002</v>
      </c>
      <c r="D48" s="1460"/>
      <c r="E48" s="1460"/>
      <c r="F48" s="1460"/>
      <c r="G48" s="1460"/>
      <c r="H48" s="1461">
        <f>H46+H47</f>
        <v>4.6919233079030462</v>
      </c>
      <c r="I48" s="1461">
        <f t="shared" ref="I48:L48" si="10">I46+I47</f>
        <v>4.9674256794188221</v>
      </c>
      <c r="J48" s="1461">
        <f t="shared" si="10"/>
        <v>4.5889982038371162</v>
      </c>
      <c r="K48" s="1461">
        <f t="shared" si="10"/>
        <v>5.1117843317252145</v>
      </c>
      <c r="L48" s="1461">
        <f t="shared" si="10"/>
        <v>5.0844823756294346</v>
      </c>
    </row>
    <row r="49" spans="4:12" hidden="1"/>
    <row r="50" spans="4:12" hidden="1">
      <c r="D50" s="1463">
        <v>42638</v>
      </c>
      <c r="E50" s="520">
        <f>D51-D50</f>
        <v>68</v>
      </c>
    </row>
    <row r="51" spans="4:12" hidden="1">
      <c r="D51" s="1463">
        <v>42706</v>
      </c>
      <c r="J51" s="1464">
        <f>J44-AVERAGE($H$44:$I$44)</f>
        <v>26.195730092896383</v>
      </c>
      <c r="K51" s="1464">
        <f t="shared" ref="K51:L51" si="11">K44-AVERAGE($H$44:$I$44)</f>
        <v>26.656712133366455</v>
      </c>
      <c r="L51" s="1464">
        <f t="shared" si="11"/>
        <v>8.0886638781282727</v>
      </c>
    </row>
    <row r="52" spans="4:12" hidden="1">
      <c r="D52" s="1463">
        <v>42825</v>
      </c>
      <c r="E52" s="520">
        <f>D52-D51+1</f>
        <v>120</v>
      </c>
      <c r="J52" s="1464">
        <f>J45</f>
        <v>8807.5649999999987</v>
      </c>
      <c r="K52" s="1464">
        <f t="shared" ref="K52:L52" si="12">K45</f>
        <v>8421.4259999999995</v>
      </c>
      <c r="L52" s="1464">
        <f t="shared" si="12"/>
        <v>8444.4984000000004</v>
      </c>
    </row>
    <row r="53" spans="4:12" hidden="1">
      <c r="J53" s="845">
        <f>J51/(J52/10)*100</f>
        <v>2.9742306861086338</v>
      </c>
      <c r="K53" s="845">
        <f t="shared" ref="K53:L53" si="13">K51/(K52/10)*100</f>
        <v>3.1653442223878065</v>
      </c>
      <c r="L53" s="845">
        <f t="shared" si="13"/>
        <v>0.95786197059712541</v>
      </c>
    </row>
    <row r="54" spans="4:12" hidden="1"/>
    <row r="55" spans="4:12" hidden="1"/>
  </sheetData>
  <mergeCells count="8">
    <mergeCell ref="J39:K39"/>
    <mergeCell ref="A4:L4"/>
    <mergeCell ref="A35:L35"/>
    <mergeCell ref="C6:L6"/>
    <mergeCell ref="C7:L7"/>
    <mergeCell ref="A37:L37"/>
    <mergeCell ref="A36:L36"/>
    <mergeCell ref="C25:C27"/>
  </mergeCells>
  <hyperlinks>
    <hyperlink ref="C15" location="'Form-11'!A1" display="FORM-11"/>
    <hyperlink ref="C16" location="Form13B!A1" display="FORM-13B"/>
    <hyperlink ref="C17" location="'Form 13A'!A1" display="FORM-13A"/>
    <hyperlink ref="C18" location="'Form 14'!A1" display="FORM 14"/>
    <hyperlink ref="C19" location="'Form 16-O&amp;M (2)'!A1" display="FORM 16"/>
    <hyperlink ref="C32" location="Incentive!A1" display="Incentive!A1"/>
    <hyperlink ref="C29" location="'Loan Refinance'!A1" display="Loan Refinance"/>
    <hyperlink ref="C25:C27" location="'Energy Charges'!A1" display="Energy Charges"/>
    <hyperlink ref="C20" location="'ARR-Actual'!A1" display="ARR-Actual"/>
    <hyperlink ref="C33" location="'Water charges and filling fees'!A1" display="Water charges and filling fees"/>
  </hyperlinks>
  <pageMargins left="0.70866141732283505" right="0.70866141732283505" top="0.74803149606299202" bottom="0.74803149606299202" header="0.31496062992126" footer="0.31496062992126"/>
  <pageSetup paperSize="9" scale="67" orientation="portrait" horizontalDpi="4294967293" r:id="rId1"/>
</worksheet>
</file>

<file path=xl/worksheets/sheet30.xml><?xml version="1.0" encoding="utf-8"?>
<worksheet xmlns="http://schemas.openxmlformats.org/spreadsheetml/2006/main" xmlns:r="http://schemas.openxmlformats.org/officeDocument/2006/relationships">
  <sheetPr>
    <pageSetUpPr fitToPage="1"/>
  </sheetPr>
  <dimension ref="A1:L206"/>
  <sheetViews>
    <sheetView showGridLines="0" topLeftCell="A25" zoomScaleSheetLayoutView="115" workbookViewId="0">
      <selection activeCell="F30" sqref="F30"/>
    </sheetView>
  </sheetViews>
  <sheetFormatPr defaultColWidth="9.33203125" defaultRowHeight="15.75"/>
  <cols>
    <col min="1" max="1" width="11.33203125" style="35" customWidth="1"/>
    <col min="2" max="2" width="46.83203125" style="35" customWidth="1"/>
    <col min="3" max="3" width="21.5" style="35" customWidth="1"/>
    <col min="4" max="4" width="17.1640625" style="35" customWidth="1"/>
    <col min="5" max="5" width="19.1640625" style="35" customWidth="1"/>
    <col min="6" max="6" width="20.5" style="35" customWidth="1"/>
    <col min="7" max="7" width="20" style="35" customWidth="1"/>
    <col min="8" max="8" width="16.6640625" style="35" customWidth="1"/>
    <col min="9" max="9" width="12.1640625" style="35" customWidth="1"/>
    <col min="10" max="10" width="13.83203125" style="35" customWidth="1"/>
    <col min="11" max="15" width="12.1640625" style="35" customWidth="1"/>
    <col min="16" max="16384" width="9.33203125" style="35"/>
  </cols>
  <sheetData>
    <row r="1" spans="2:12">
      <c r="B1" s="1184"/>
      <c r="C1" s="1185"/>
      <c r="D1" s="1185"/>
      <c r="E1" s="1185"/>
      <c r="F1" s="1185"/>
      <c r="G1" s="1185"/>
      <c r="H1" s="1186"/>
    </row>
    <row r="2" spans="2:12">
      <c r="B2" s="1187"/>
      <c r="C2" s="755"/>
      <c r="D2" s="755"/>
      <c r="E2" s="755"/>
      <c r="F2" s="755"/>
      <c r="G2" s="755"/>
      <c r="H2" s="1188" t="s">
        <v>267</v>
      </c>
      <c r="L2" s="35" t="s">
        <v>847</v>
      </c>
    </row>
    <row r="3" spans="2:12">
      <c r="B3" s="1189"/>
      <c r="C3" s="750"/>
      <c r="D3" s="755"/>
      <c r="E3" s="755"/>
      <c r="F3" s="755"/>
      <c r="G3" s="755"/>
      <c r="H3" s="1190"/>
    </row>
    <row r="4" spans="2:12" ht="18.75">
      <c r="B4" s="2066" t="s">
        <v>268</v>
      </c>
      <c r="C4" s="2067"/>
      <c r="D4" s="2067"/>
      <c r="E4" s="2067"/>
      <c r="F4" s="2067"/>
      <c r="G4" s="2067"/>
      <c r="H4" s="2068"/>
    </row>
    <row r="5" spans="2:12">
      <c r="B5" s="1191"/>
      <c r="C5" s="1192"/>
      <c r="D5" s="1192"/>
      <c r="E5" s="755"/>
      <c r="F5" s="755"/>
      <c r="G5" s="755"/>
      <c r="H5" s="1190"/>
    </row>
    <row r="6" spans="2:12" ht="24.75" customHeight="1">
      <c r="B6" s="1193" t="s">
        <v>445</v>
      </c>
      <c r="C6" s="1194" t="s">
        <v>841</v>
      </c>
      <c r="D6" s="1195"/>
      <c r="E6" s="755"/>
      <c r="F6" s="755"/>
      <c r="G6" s="755"/>
      <c r="H6" s="1190"/>
    </row>
    <row r="7" spans="2:12" ht="24.75" customHeight="1">
      <c r="B7" s="1193" t="s">
        <v>446</v>
      </c>
      <c r="C7" s="2072" t="str">
        <f>Depr!C6</f>
        <v>Singareni Thermal Power Project</v>
      </c>
      <c r="D7" s="2072"/>
      <c r="E7" s="755"/>
      <c r="F7" s="755"/>
      <c r="G7" s="755"/>
      <c r="H7" s="1190"/>
    </row>
    <row r="8" spans="2:12" ht="20.25" customHeight="1">
      <c r="B8" s="2077" t="s">
        <v>1298</v>
      </c>
      <c r="C8" s="2078"/>
      <c r="D8" s="2078"/>
      <c r="E8" s="2078"/>
      <c r="F8" s="2078"/>
      <c r="G8" s="2078"/>
      <c r="H8" s="2079"/>
    </row>
    <row r="9" spans="2:12">
      <c r="B9" s="2073" t="s">
        <v>271</v>
      </c>
      <c r="C9" s="2075" t="s">
        <v>272</v>
      </c>
      <c r="D9" s="2063" t="s">
        <v>1084</v>
      </c>
      <c r="E9" s="2064"/>
      <c r="F9" s="2064"/>
      <c r="G9" s="2064"/>
      <c r="H9" s="2065"/>
    </row>
    <row r="10" spans="2:12">
      <c r="B10" s="2074"/>
      <c r="C10" s="2076"/>
      <c r="D10" s="758" t="s">
        <v>864</v>
      </c>
      <c r="E10" s="758" t="s">
        <v>865</v>
      </c>
      <c r="F10" s="758" t="s">
        <v>866</v>
      </c>
      <c r="G10" s="758" t="s">
        <v>1302</v>
      </c>
      <c r="H10" s="1196" t="s">
        <v>1496</v>
      </c>
    </row>
    <row r="11" spans="2:12">
      <c r="B11" s="1197" t="s">
        <v>273</v>
      </c>
      <c r="C11" s="227" t="s">
        <v>274</v>
      </c>
      <c r="D11" s="586">
        <v>2303.88</v>
      </c>
      <c r="E11" s="586">
        <v>2303.88</v>
      </c>
      <c r="F11" s="586">
        <v>2303.88</v>
      </c>
      <c r="G11" s="586">
        <v>2303.88</v>
      </c>
      <c r="H11" s="1198">
        <v>2303.88</v>
      </c>
    </row>
    <row r="12" spans="2:12">
      <c r="B12" s="1197" t="s">
        <v>275</v>
      </c>
      <c r="C12" s="587" t="s">
        <v>276</v>
      </c>
      <c r="D12" s="588">
        <v>5.7500000000000002E-2</v>
      </c>
      <c r="E12" s="588">
        <v>5.7500000000000002E-2</v>
      </c>
      <c r="F12" s="588">
        <v>5.7500000000000002E-2</v>
      </c>
      <c r="G12" s="588">
        <v>5.7500000000000002E-2</v>
      </c>
      <c r="H12" s="1199">
        <v>5.7500000000000002E-2</v>
      </c>
    </row>
    <row r="13" spans="2:12">
      <c r="B13" s="1197" t="s">
        <v>277</v>
      </c>
      <c r="C13" s="587" t="s">
        <v>278</v>
      </c>
      <c r="D13" s="586">
        <v>0.5</v>
      </c>
      <c r="E13" s="586">
        <v>0.5</v>
      </c>
      <c r="F13" s="586">
        <v>0.5</v>
      </c>
      <c r="G13" s="586">
        <v>0.5</v>
      </c>
      <c r="H13" s="1198">
        <v>0.5</v>
      </c>
    </row>
    <row r="14" spans="2:12">
      <c r="B14" s="1197" t="s">
        <v>1450</v>
      </c>
      <c r="C14" s="227" t="s">
        <v>279</v>
      </c>
      <c r="D14" s="228">
        <f>D33</f>
        <v>10001.775814797611</v>
      </c>
      <c r="E14" s="228">
        <f>E33</f>
        <v>10039.216689175946</v>
      </c>
      <c r="F14" s="228">
        <f>F33</f>
        <v>9992.2689461625487</v>
      </c>
      <c r="G14" s="228">
        <f>G33</f>
        <v>9992.2689461625487</v>
      </c>
      <c r="H14" s="1200">
        <f>H33</f>
        <v>9992.2689461625487</v>
      </c>
    </row>
    <row r="15" spans="2:12">
      <c r="B15" s="1197" t="s">
        <v>1451</v>
      </c>
      <c r="C15" s="227" t="s">
        <v>1445</v>
      </c>
      <c r="D15" s="228">
        <f t="shared" ref="D15" si="0">D34</f>
        <v>3628.9681698226909</v>
      </c>
      <c r="E15" s="228">
        <f t="shared" ref="E15:F17" si="1">E34</f>
        <v>3872.1254243761819</v>
      </c>
      <c r="F15" s="228">
        <f t="shared" si="1"/>
        <v>3981.0203468050072</v>
      </c>
      <c r="G15" s="228">
        <f t="shared" ref="G15:H17" si="2">G34</f>
        <v>4116.75</v>
      </c>
      <c r="H15" s="1200">
        <f t="shared" si="2"/>
        <v>4116.75</v>
      </c>
    </row>
    <row r="16" spans="2:12">
      <c r="B16" s="1197" t="s">
        <v>1452</v>
      </c>
      <c r="C16" s="227" t="s">
        <v>281</v>
      </c>
      <c r="D16" s="228">
        <f t="shared" ref="D16" si="3">D35</f>
        <v>4217.9978880495764</v>
      </c>
      <c r="E16" s="228">
        <f t="shared" si="1"/>
        <v>4095.6528271206744</v>
      </c>
      <c r="F16" s="228">
        <f t="shared" si="1"/>
        <v>4432.6836145156585</v>
      </c>
      <c r="G16" s="228">
        <f t="shared" si="2"/>
        <v>5291.7092727419158</v>
      </c>
      <c r="H16" s="1200">
        <f t="shared" si="2"/>
        <v>5291.7092727419158</v>
      </c>
    </row>
    <row r="17" spans="2:10">
      <c r="B17" s="1197" t="s">
        <v>1454</v>
      </c>
      <c r="C17" s="227" t="s">
        <v>282</v>
      </c>
      <c r="D17" s="589">
        <f t="shared" ref="D17" si="4">D36</f>
        <v>4.5250759686748812E-2</v>
      </c>
      <c r="E17" s="589">
        <f t="shared" si="1"/>
        <v>4.300760870971243E-2</v>
      </c>
      <c r="F17" s="589">
        <f t="shared" si="1"/>
        <v>4.4961037079219113E-2</v>
      </c>
      <c r="G17" s="228">
        <f t="shared" si="2"/>
        <v>5.9826673543139211E-2</v>
      </c>
      <c r="H17" s="1200">
        <f t="shared" si="2"/>
        <v>5.9826673543139211E-2</v>
      </c>
    </row>
    <row r="18" spans="2:10">
      <c r="B18" s="1197" t="s">
        <v>283</v>
      </c>
      <c r="C18" s="227" t="s">
        <v>1446</v>
      </c>
      <c r="D18" s="586">
        <f>D13*D17*100</f>
        <v>2.2625379843374405</v>
      </c>
      <c r="E18" s="586">
        <f>E13*E17*100</f>
        <v>2.1503804354856215</v>
      </c>
      <c r="F18" s="586">
        <f>F13*F17*100</f>
        <v>2.2480518539609555</v>
      </c>
      <c r="G18" s="586">
        <f>G13*G17*100</f>
        <v>2.9913336771569607</v>
      </c>
      <c r="H18" s="1198">
        <f>H13*H17*100</f>
        <v>2.9913336771569607</v>
      </c>
    </row>
    <row r="19" spans="2:10">
      <c r="B19" s="1197" t="s">
        <v>284</v>
      </c>
      <c r="C19" s="227" t="s">
        <v>274</v>
      </c>
      <c r="D19" s="590">
        <f>+D13*D14/10^3</f>
        <v>5.0008879073988055</v>
      </c>
      <c r="E19" s="590">
        <f>+E13*E14/10^3</f>
        <v>5.0196083445879731</v>
      </c>
      <c r="F19" s="590">
        <f>+F13*F14/10^3</f>
        <v>4.9961344730812742</v>
      </c>
      <c r="G19" s="590">
        <f>+G13*G14/10^3</f>
        <v>4.9961344730812742</v>
      </c>
      <c r="H19" s="703">
        <f>+H13*H14/10^3</f>
        <v>4.9961344730812742</v>
      </c>
    </row>
    <row r="20" spans="2:10">
      <c r="B20" s="1197" t="s">
        <v>285</v>
      </c>
      <c r="C20" s="227" t="s">
        <v>274</v>
      </c>
      <c r="D20" s="586">
        <f>+D11-D19</f>
        <v>2298.8791120926012</v>
      </c>
      <c r="E20" s="586">
        <f>+E11-E19</f>
        <v>2298.8603916554121</v>
      </c>
      <c r="F20" s="586">
        <f>+F11-F19</f>
        <v>2298.8838655269187</v>
      </c>
      <c r="G20" s="586">
        <f>+G11-G19</f>
        <v>2298.8838655269187</v>
      </c>
      <c r="H20" s="1198">
        <f>+H11-H19</f>
        <v>2298.8838655269187</v>
      </c>
    </row>
    <row r="21" spans="2:10">
      <c r="B21" s="1197" t="s">
        <v>286</v>
      </c>
      <c r="C21" s="227" t="s">
        <v>287</v>
      </c>
      <c r="D21" s="586">
        <f>+D20/D15</f>
        <v>0.63348009806460304</v>
      </c>
      <c r="E21" s="586">
        <f t="shared" ref="E21:H21" si="5">+E20/E15</f>
        <v>0.5936947127754183</v>
      </c>
      <c r="F21" s="586">
        <f t="shared" si="5"/>
        <v>0.577460968611201</v>
      </c>
      <c r="G21" s="586">
        <f t="shared" si="5"/>
        <v>0.55842202356881487</v>
      </c>
      <c r="H21" s="1198">
        <f t="shared" si="5"/>
        <v>0.55842202356881487</v>
      </c>
    </row>
    <row r="22" spans="2:10">
      <c r="B22" s="1197" t="s">
        <v>288</v>
      </c>
      <c r="C22" s="227" t="s">
        <v>1446</v>
      </c>
      <c r="D22" s="736">
        <f>D21*D16/10</f>
        <v>267.20177157579343</v>
      </c>
      <c r="E22" s="736">
        <f t="shared" ref="E22:H22" si="6">E21*E16/10</f>
        <v>243.15674288252384</v>
      </c>
      <c r="F22" s="736">
        <f t="shared" si="6"/>
        <v>255.9701773585212</v>
      </c>
      <c r="G22" s="736">
        <f t="shared" si="6"/>
        <v>295.50070002224027</v>
      </c>
      <c r="H22" s="1201">
        <f t="shared" si="6"/>
        <v>295.50070002224027</v>
      </c>
    </row>
    <row r="23" spans="2:10">
      <c r="B23" s="1197" t="s">
        <v>1453</v>
      </c>
      <c r="C23" s="227" t="s">
        <v>1446</v>
      </c>
      <c r="D23" s="591">
        <f>ROUND((D22+D18)/(1-D12),1)</f>
        <v>285.89999999999998</v>
      </c>
      <c r="E23" s="591">
        <f>ROUND((E22+E18)/(1-E12),1)</f>
        <v>260.3</v>
      </c>
      <c r="F23" s="591">
        <f>ROUND((F22+F18)/(1-F12),1)</f>
        <v>274</v>
      </c>
      <c r="G23" s="591">
        <f>ROUND((G22+G18)/(1-G12),1)</f>
        <v>316.7</v>
      </c>
      <c r="H23" s="1202">
        <f>ROUND((H22+H18)/(1-H12),1)</f>
        <v>316.7</v>
      </c>
    </row>
    <row r="24" spans="2:10">
      <c r="B24" s="1203" t="s">
        <v>1012</v>
      </c>
      <c r="C24" s="752" t="s">
        <v>513</v>
      </c>
      <c r="D24" s="759">
        <f>'FUEL COST'!F17</f>
        <v>8671.2289999999994</v>
      </c>
      <c r="E24" s="759">
        <f>'FUEL COST'!G17</f>
        <v>6895.3293599999997</v>
      </c>
      <c r="F24" s="759">
        <f>'FUEL COST'!H17</f>
        <v>8807.5649999999987</v>
      </c>
      <c r="G24" s="590">
        <f>'FUEL COST'!I17</f>
        <v>8421.4259999999995</v>
      </c>
      <c r="H24" s="703">
        <f>'FUEL COST'!J17</f>
        <v>8444.4984000000004</v>
      </c>
    </row>
    <row r="25" spans="2:10">
      <c r="B25" s="1203" t="s">
        <v>1054</v>
      </c>
      <c r="C25" s="229" t="s">
        <v>1056</v>
      </c>
      <c r="D25" s="590">
        <f>D24*D23/1000</f>
        <v>2479.1043710999998</v>
      </c>
      <c r="E25" s="590">
        <f t="shared" ref="E25:H25" si="7">E24*E23/1000</f>
        <v>1794.8542324079999</v>
      </c>
      <c r="F25" s="590">
        <f t="shared" si="7"/>
        <v>2413.2728099999995</v>
      </c>
      <c r="G25" s="590">
        <f t="shared" si="7"/>
        <v>2667.0656141999998</v>
      </c>
      <c r="H25" s="703">
        <f t="shared" si="7"/>
        <v>2674.3726432799999</v>
      </c>
    </row>
    <row r="26" spans="2:10">
      <c r="B26" s="1189"/>
      <c r="C26" s="750"/>
      <c r="D26" s="755"/>
      <c r="E26" s="755"/>
      <c r="F26" s="755"/>
      <c r="G26" s="755"/>
      <c r="H26" s="1190"/>
    </row>
    <row r="27" spans="2:10" ht="18.75">
      <c r="B27" s="2077" t="s">
        <v>1299</v>
      </c>
      <c r="C27" s="2078"/>
      <c r="D27" s="2078"/>
      <c r="E27" s="2078"/>
      <c r="F27" s="2078"/>
      <c r="G27" s="2078"/>
      <c r="H27" s="2079"/>
    </row>
    <row r="28" spans="2:10" ht="15.75" customHeight="1">
      <c r="B28" s="2073" t="s">
        <v>271</v>
      </c>
      <c r="C28" s="2075" t="s">
        <v>272</v>
      </c>
      <c r="D28" s="2063" t="s">
        <v>1084</v>
      </c>
      <c r="E28" s="2064"/>
      <c r="F28" s="2064"/>
      <c r="G28" s="2064"/>
      <c r="H28" s="2065"/>
    </row>
    <row r="29" spans="2:10">
      <c r="B29" s="2074"/>
      <c r="C29" s="2076"/>
      <c r="D29" s="758" t="s">
        <v>864</v>
      </c>
      <c r="E29" s="758" t="s">
        <v>865</v>
      </c>
      <c r="F29" s="758" t="s">
        <v>866</v>
      </c>
      <c r="G29" s="758" t="s">
        <v>1302</v>
      </c>
      <c r="H29" s="1196" t="s">
        <v>1496</v>
      </c>
    </row>
    <row r="30" spans="2:10">
      <c r="B30" s="1197" t="s">
        <v>273</v>
      </c>
      <c r="C30" s="227" t="s">
        <v>274</v>
      </c>
      <c r="D30" s="586">
        <v>2312.9795153087939</v>
      </c>
      <c r="E30" s="586">
        <v>2289.3690774206239</v>
      </c>
      <c r="F30" s="586">
        <v>2305.2972908348061</v>
      </c>
      <c r="G30" s="586">
        <v>2303.88</v>
      </c>
      <c r="H30" s="1198">
        <v>2303.88</v>
      </c>
      <c r="I30" s="580"/>
      <c r="J30" s="580"/>
    </row>
    <row r="31" spans="2:10">
      <c r="B31" s="1197" t="s">
        <v>275</v>
      </c>
      <c r="C31" s="587" t="s">
        <v>276</v>
      </c>
      <c r="D31" s="588">
        <v>6.0220999999999997E-2</v>
      </c>
      <c r="E31" s="588">
        <v>6.1228994725706788E-2</v>
      </c>
      <c r="F31" s="588">
        <v>5.8310000000000001E-2</v>
      </c>
      <c r="G31" s="588">
        <v>5.7500000000000002E-2</v>
      </c>
      <c r="H31" s="1199">
        <v>5.7500000000000002E-2</v>
      </c>
      <c r="I31" s="581"/>
      <c r="J31" s="581"/>
    </row>
    <row r="32" spans="2:10">
      <c r="B32" s="1197" t="s">
        <v>277</v>
      </c>
      <c r="C32" s="587" t="s">
        <v>278</v>
      </c>
      <c r="D32" s="586">
        <v>0.20773084301589043</v>
      </c>
      <c r="E32" s="586">
        <v>0.24371370145376625</v>
      </c>
      <c r="F32" s="586">
        <v>0.13113982218941014</v>
      </c>
      <c r="G32" s="586">
        <v>0.5</v>
      </c>
      <c r="H32" s="1198">
        <v>0.5</v>
      </c>
      <c r="I32" s="580"/>
      <c r="J32" s="580"/>
    </row>
    <row r="33" spans="2:10">
      <c r="B33" s="1197" t="s">
        <v>1450</v>
      </c>
      <c r="C33" s="227" t="s">
        <v>279</v>
      </c>
      <c r="D33" s="228">
        <v>10001.775814797611</v>
      </c>
      <c r="E33" s="228">
        <v>10039.216689175946</v>
      </c>
      <c r="F33" s="228">
        <v>9992.2689461625487</v>
      </c>
      <c r="G33" s="228">
        <f>F33</f>
        <v>9992.2689461625487</v>
      </c>
      <c r="H33" s="1200">
        <f>G33</f>
        <v>9992.2689461625487</v>
      </c>
      <c r="I33" s="582"/>
      <c r="J33" s="582"/>
    </row>
    <row r="34" spans="2:10">
      <c r="B34" s="1197" t="s">
        <v>1451</v>
      </c>
      <c r="C34" s="227" t="s">
        <v>280</v>
      </c>
      <c r="D34" s="228">
        <v>3628.9681698226909</v>
      </c>
      <c r="E34" s="228">
        <v>3872.1254243761819</v>
      </c>
      <c r="F34" s="228">
        <v>3981.0203468050072</v>
      </c>
      <c r="G34" s="228">
        <f>D112</f>
        <v>4116.75</v>
      </c>
      <c r="H34" s="1200">
        <f t="shared" ref="H34:H36" si="8">G34</f>
        <v>4116.75</v>
      </c>
      <c r="I34" s="582"/>
      <c r="J34" s="582"/>
    </row>
    <row r="35" spans="2:10">
      <c r="B35" s="1197" t="s">
        <v>1452</v>
      </c>
      <c r="C35" s="227" t="s">
        <v>281</v>
      </c>
      <c r="D35" s="228">
        <v>4217.9978880495764</v>
      </c>
      <c r="E35" s="228">
        <v>4095.6528271206744</v>
      </c>
      <c r="F35" s="228">
        <v>4432.6836145156585</v>
      </c>
      <c r="G35" s="228">
        <f>C112</f>
        <v>5291.7092727419158</v>
      </c>
      <c r="H35" s="1200">
        <f t="shared" si="8"/>
        <v>5291.7092727419158</v>
      </c>
      <c r="I35" s="582"/>
      <c r="J35" s="582"/>
    </row>
    <row r="36" spans="2:10">
      <c r="B36" s="1197" t="s">
        <v>1454</v>
      </c>
      <c r="C36" s="227" t="s">
        <v>282</v>
      </c>
      <c r="D36" s="589">
        <v>4.5250759686748812E-2</v>
      </c>
      <c r="E36" s="589">
        <v>4.300760870971243E-2</v>
      </c>
      <c r="F36" s="589">
        <v>4.4961037079219113E-2</v>
      </c>
      <c r="G36" s="589">
        <f>F112/10^6</f>
        <v>5.9826673543139211E-2</v>
      </c>
      <c r="H36" s="1255">
        <f t="shared" si="8"/>
        <v>5.9826673543139211E-2</v>
      </c>
      <c r="I36" s="583"/>
      <c r="J36" s="583"/>
    </row>
    <row r="37" spans="2:10">
      <c r="B37" s="1197" t="s">
        <v>283</v>
      </c>
      <c r="C37" s="227" t="s">
        <v>1446</v>
      </c>
      <c r="D37" s="586">
        <f>D32*D36*100</f>
        <v>0.93999784568377998</v>
      </c>
      <c r="E37" s="586">
        <f t="shared" ref="E37:H37" si="9">E32*E36*100</f>
        <v>1.0481543509319253</v>
      </c>
      <c r="F37" s="586">
        <f t="shared" si="9"/>
        <v>0.58961824080202707</v>
      </c>
      <c r="G37" s="586">
        <f t="shared" si="9"/>
        <v>2.9913336771569607</v>
      </c>
      <c r="H37" s="1198">
        <f t="shared" si="9"/>
        <v>2.9913336771569607</v>
      </c>
      <c r="I37" s="580"/>
      <c r="J37" s="580"/>
    </row>
    <row r="38" spans="2:10">
      <c r="B38" s="1197" t="s">
        <v>284</v>
      </c>
      <c r="C38" s="227" t="s">
        <v>274</v>
      </c>
      <c r="D38" s="590">
        <f>+D32*D33/10^3</f>
        <v>2.077677321663852</v>
      </c>
      <c r="E38" s="590">
        <f t="shared" ref="E38:H38" si="10">+E32*E33/10^3</f>
        <v>2.4466946590154945</v>
      </c>
      <c r="F38" s="590">
        <f t="shared" si="10"/>
        <v>1.3103843728685212</v>
      </c>
      <c r="G38" s="590">
        <f t="shared" si="10"/>
        <v>4.9961344730812742</v>
      </c>
      <c r="H38" s="703">
        <f t="shared" si="10"/>
        <v>4.9961344730812742</v>
      </c>
      <c r="I38" s="577"/>
      <c r="J38" s="577"/>
    </row>
    <row r="39" spans="2:10">
      <c r="B39" s="1197" t="s">
        <v>285</v>
      </c>
      <c r="C39" s="227" t="s">
        <v>274</v>
      </c>
      <c r="D39" s="586">
        <f>+D30-D38</f>
        <v>2310.90183798713</v>
      </c>
      <c r="E39" s="586">
        <f t="shared" ref="E39:H39" si="11">+E30-E38</f>
        <v>2286.9223827616083</v>
      </c>
      <c r="F39" s="586">
        <f t="shared" si="11"/>
        <v>2303.9869064619375</v>
      </c>
      <c r="G39" s="586">
        <f t="shared" si="11"/>
        <v>2298.8838655269187</v>
      </c>
      <c r="H39" s="1198">
        <f t="shared" si="11"/>
        <v>2298.8838655269187</v>
      </c>
      <c r="I39" s="580"/>
      <c r="J39" s="580"/>
    </row>
    <row r="40" spans="2:10">
      <c r="B40" s="1197" t="s">
        <v>286</v>
      </c>
      <c r="C40" s="227" t="s">
        <v>287</v>
      </c>
      <c r="D40" s="586">
        <f>+D39/D34</f>
        <v>0.63679308548469282</v>
      </c>
      <c r="E40" s="586">
        <f t="shared" ref="E40:H40" si="12">+E39/E34</f>
        <v>0.59061164919006792</v>
      </c>
      <c r="F40" s="586">
        <f t="shared" si="12"/>
        <v>0.57874281107631531</v>
      </c>
      <c r="G40" s="586">
        <f t="shared" si="12"/>
        <v>0.55842202356881487</v>
      </c>
      <c r="H40" s="1198">
        <f t="shared" si="12"/>
        <v>0.55842202356881487</v>
      </c>
      <c r="I40" s="580"/>
      <c r="J40" s="580"/>
    </row>
    <row r="41" spans="2:10">
      <c r="B41" s="1197" t="s">
        <v>288</v>
      </c>
      <c r="C41" s="227" t="s">
        <v>1446</v>
      </c>
      <c r="D41" s="736">
        <f>D40*D35/10</f>
        <v>268.59918896990075</v>
      </c>
      <c r="E41" s="736">
        <f t="shared" ref="E41:H41" si="13">E40*E35/10</f>
        <v>241.89402707357058</v>
      </c>
      <c r="F41" s="736">
        <f t="shared" si="13"/>
        <v>256.53837756767143</v>
      </c>
      <c r="G41" s="736">
        <f t="shared" si="13"/>
        <v>295.50070002224027</v>
      </c>
      <c r="H41" s="1201">
        <f t="shared" si="13"/>
        <v>295.50070002224027</v>
      </c>
      <c r="I41" s="584"/>
      <c r="J41" s="584"/>
    </row>
    <row r="42" spans="2:10">
      <c r="B42" s="1197" t="s">
        <v>1453</v>
      </c>
      <c r="C42" s="227" t="s">
        <v>1446</v>
      </c>
      <c r="D42" s="591">
        <f>ROUND((D41+D37)/(1-D31),1)</f>
        <v>286.8</v>
      </c>
      <c r="E42" s="591">
        <f t="shared" ref="E42:H42" si="14">ROUND((E41+E37)/(1-E31),1)</f>
        <v>258.8</v>
      </c>
      <c r="F42" s="591">
        <f t="shared" si="14"/>
        <v>273</v>
      </c>
      <c r="G42" s="591">
        <f t="shared" si="14"/>
        <v>316.7</v>
      </c>
      <c r="H42" s="1202">
        <f t="shared" si="14"/>
        <v>316.7</v>
      </c>
      <c r="I42" s="585"/>
      <c r="J42" s="585"/>
    </row>
    <row r="43" spans="2:10">
      <c r="B43" s="1203" t="s">
        <v>1012</v>
      </c>
      <c r="C43" s="752" t="s">
        <v>513</v>
      </c>
      <c r="D43" s="759">
        <f>'FUEL COST'!F17</f>
        <v>8671.2289999999994</v>
      </c>
      <c r="E43" s="759">
        <f>'FUEL COST'!G17</f>
        <v>6895.3293599999997</v>
      </c>
      <c r="F43" s="759">
        <f>'FUEL COST'!H17</f>
        <v>8807.5649999999987</v>
      </c>
      <c r="G43" s="590">
        <f>'FUEL COST'!I17</f>
        <v>8421.4259999999995</v>
      </c>
      <c r="H43" s="703">
        <f>'FUEL COST'!J17</f>
        <v>8444.4984000000004</v>
      </c>
    </row>
    <row r="44" spans="2:10">
      <c r="B44" s="1203" t="s">
        <v>1054</v>
      </c>
      <c r="C44" s="229" t="s">
        <v>1447</v>
      </c>
      <c r="D44" s="590">
        <f>D43*D42/1000</f>
        <v>2486.9084772000001</v>
      </c>
      <c r="E44" s="590">
        <f t="shared" ref="E44" si="15">E43*E42/1000</f>
        <v>1784.5112383679998</v>
      </c>
      <c r="F44" s="590">
        <f t="shared" ref="F44" si="16">F43*F42/1000</f>
        <v>2404.4652449999999</v>
      </c>
      <c r="G44" s="590">
        <f t="shared" ref="G44" si="17">G43*G42/1000</f>
        <v>2667.0656141999998</v>
      </c>
      <c r="H44" s="703">
        <f t="shared" ref="H44" si="18">H43*H42/1000</f>
        <v>2674.3726432799999</v>
      </c>
    </row>
    <row r="45" spans="2:10">
      <c r="B45" s="1204"/>
      <c r="C45" s="753"/>
      <c r="D45" s="754"/>
      <c r="E45" s="754"/>
      <c r="F45" s="754"/>
      <c r="G45" s="754"/>
      <c r="H45" s="1205"/>
    </row>
    <row r="46" spans="2:10" ht="18.75">
      <c r="B46" s="2077" t="s">
        <v>1497</v>
      </c>
      <c r="C46" s="2078"/>
      <c r="D46" s="2078"/>
      <c r="E46" s="2078"/>
      <c r="F46" s="2078"/>
      <c r="G46" s="2078"/>
      <c r="H46" s="2079"/>
    </row>
    <row r="47" spans="2:10">
      <c r="B47" s="2073" t="s">
        <v>271</v>
      </c>
      <c r="C47" s="2075" t="s">
        <v>272</v>
      </c>
      <c r="D47" s="2063" t="s">
        <v>1084</v>
      </c>
      <c r="E47" s="2064"/>
      <c r="F47" s="2064"/>
      <c r="G47" s="2064"/>
      <c r="H47" s="2065"/>
    </row>
    <row r="48" spans="2:10">
      <c r="B48" s="2074"/>
      <c r="C48" s="2076"/>
      <c r="D48" s="758" t="s">
        <v>864</v>
      </c>
      <c r="E48" s="758" t="s">
        <v>865</v>
      </c>
      <c r="F48" s="758" t="s">
        <v>866</v>
      </c>
      <c r="G48" s="758" t="s">
        <v>867</v>
      </c>
      <c r="H48" s="1196" t="s">
        <v>868</v>
      </c>
    </row>
    <row r="49" spans="2:8">
      <c r="B49" s="1203" t="s">
        <v>1300</v>
      </c>
      <c r="C49" s="229" t="s">
        <v>1447</v>
      </c>
      <c r="D49" s="590">
        <f>D25-D44</f>
        <v>-7.8041061000003538</v>
      </c>
      <c r="E49" s="590">
        <f t="shared" ref="E49:F49" si="19">E25-E44</f>
        <v>10.342994040000121</v>
      </c>
      <c r="F49" s="590">
        <f t="shared" si="19"/>
        <v>8.8075649999996131</v>
      </c>
      <c r="G49" s="590">
        <f t="shared" ref="G49:H49" si="20">G44-G25</f>
        <v>0</v>
      </c>
      <c r="H49" s="703">
        <f t="shared" si="20"/>
        <v>0</v>
      </c>
    </row>
    <row r="50" spans="2:8">
      <c r="B50" s="1203" t="s">
        <v>1301</v>
      </c>
      <c r="C50" s="229" t="s">
        <v>1447</v>
      </c>
      <c r="D50" s="590">
        <f>-D49*1/3</f>
        <v>2.6013687000001178</v>
      </c>
      <c r="E50" s="590">
        <f>-E49*2/3</f>
        <v>-6.8953293600000807</v>
      </c>
      <c r="F50" s="590">
        <f>-F49*2/3</f>
        <v>-5.8717099999997417</v>
      </c>
      <c r="G50" s="590">
        <f t="shared" ref="G50:H50" si="21">G49*2/3</f>
        <v>0</v>
      </c>
      <c r="H50" s="703">
        <f t="shared" si="21"/>
        <v>0</v>
      </c>
    </row>
    <row r="51" spans="2:8">
      <c r="B51" s="1189"/>
      <c r="C51" s="750"/>
      <c r="D51" s="750"/>
      <c r="E51" s="755"/>
      <c r="F51" s="756"/>
      <c r="G51" s="757"/>
      <c r="H51" s="1190"/>
    </row>
    <row r="52" spans="2:8">
      <c r="B52" s="2080" t="s">
        <v>1494</v>
      </c>
      <c r="C52" s="2081"/>
      <c r="D52" s="2081"/>
      <c r="E52" s="2081"/>
      <c r="F52" s="2081"/>
      <c r="G52" s="2081"/>
      <c r="H52" s="2082"/>
    </row>
    <row r="53" spans="2:8" ht="36.75" customHeight="1">
      <c r="B53" s="2069" t="s">
        <v>1495</v>
      </c>
      <c r="C53" s="2070"/>
      <c r="D53" s="2070"/>
      <c r="E53" s="2070"/>
      <c r="F53" s="2070"/>
      <c r="G53" s="2070"/>
      <c r="H53" s="2071"/>
    </row>
    <row r="54" spans="2:8">
      <c r="B54" s="1189"/>
      <c r="C54" s="750"/>
      <c r="D54" s="750"/>
      <c r="E54" s="755"/>
      <c r="F54" s="756"/>
      <c r="G54" s="757"/>
      <c r="H54" s="1190"/>
    </row>
    <row r="55" spans="2:8">
      <c r="B55" s="1189"/>
      <c r="C55" s="750"/>
      <c r="D55" s="755"/>
      <c r="E55" s="755"/>
      <c r="F55" s="755"/>
      <c r="G55" s="755"/>
      <c r="H55" s="1190"/>
    </row>
    <row r="56" spans="2:8">
      <c r="B56" s="1189"/>
      <c r="C56" s="750"/>
      <c r="D56" s="1206"/>
      <c r="E56" s="755"/>
      <c r="F56" s="755"/>
      <c r="G56" s="755"/>
      <c r="H56" s="1190"/>
    </row>
    <row r="57" spans="2:8" hidden="1">
      <c r="B57" s="1187"/>
      <c r="C57" s="755"/>
      <c r="D57" s="750" t="e">
        <f>(#REF!*#REF!+(((#REF!-#REF!/1000*#REF!)/#REF!)*#REF!/1000))/(1-#REF!)</f>
        <v>#REF!</v>
      </c>
      <c r="E57" s="755"/>
      <c r="F57" s="755"/>
      <c r="G57" s="755"/>
      <c r="H57" s="1190"/>
    </row>
    <row r="58" spans="2:8" hidden="1">
      <c r="B58" s="1187"/>
      <c r="C58" s="755"/>
      <c r="D58" s="755" t="s">
        <v>290</v>
      </c>
      <c r="E58" s="755"/>
      <c r="F58" s="755"/>
      <c r="G58" s="755"/>
      <c r="H58" s="1190"/>
    </row>
    <row r="59" spans="2:8" hidden="1">
      <c r="B59" s="1187"/>
      <c r="C59" s="755"/>
      <c r="D59" s="1207" t="e">
        <f>#REF!</f>
        <v>#REF!</v>
      </c>
      <c r="E59" s="755"/>
      <c r="F59" s="755"/>
      <c r="G59" s="755"/>
      <c r="H59" s="1190"/>
    </row>
    <row r="60" spans="2:8" hidden="1">
      <c r="B60" s="1187"/>
      <c r="C60" s="755"/>
      <c r="D60" s="1207" t="e">
        <f>#REF!</f>
        <v>#REF!</v>
      </c>
      <c r="E60" s="755"/>
      <c r="F60" s="755"/>
      <c r="G60" s="755"/>
      <c r="H60" s="1190"/>
    </row>
    <row r="61" spans="2:8" hidden="1">
      <c r="B61" s="1187"/>
      <c r="C61" s="755"/>
      <c r="D61" s="1208" t="e">
        <f>#REF!</f>
        <v>#REF!</v>
      </c>
      <c r="E61" s="1209"/>
      <c r="F61" s="755"/>
      <c r="G61" s="755"/>
      <c r="H61" s="1190"/>
    </row>
    <row r="62" spans="2:8" hidden="1">
      <c r="B62" s="1187"/>
      <c r="C62" s="755"/>
      <c r="D62" s="1208" t="e">
        <f>#REF!</f>
        <v>#REF!</v>
      </c>
      <c r="E62" s="1206"/>
      <c r="F62" s="757"/>
      <c r="G62" s="755"/>
      <c r="H62" s="1190"/>
    </row>
    <row r="63" spans="2:8" hidden="1">
      <c r="B63" s="1187"/>
      <c r="C63" s="755"/>
      <c r="D63" s="1210">
        <v>1000</v>
      </c>
      <c r="E63" s="1206"/>
      <c r="F63" s="757"/>
      <c r="G63" s="755"/>
      <c r="H63" s="1190"/>
    </row>
    <row r="64" spans="2:8" hidden="1">
      <c r="B64" s="1187"/>
      <c r="C64" s="755"/>
      <c r="D64" s="1208" t="e">
        <f>#REF!</f>
        <v>#REF!</v>
      </c>
      <c r="E64" s="1211"/>
      <c r="F64" s="1212"/>
      <c r="G64" s="755"/>
      <c r="H64" s="1190"/>
    </row>
    <row r="65" spans="1:8" hidden="1">
      <c r="B65" s="1187"/>
      <c r="C65" s="755"/>
      <c r="D65" s="1209" t="e">
        <f>#REF!</f>
        <v>#REF!</v>
      </c>
      <c r="E65" s="1211"/>
      <c r="F65" s="755"/>
      <c r="G65" s="755"/>
      <c r="H65" s="1190"/>
    </row>
    <row r="66" spans="1:8" hidden="1">
      <c r="B66" s="1187"/>
      <c r="C66" s="755"/>
      <c r="D66" s="1209" t="e">
        <f>#REF!</f>
        <v>#REF!</v>
      </c>
      <c r="E66" s="1213"/>
      <c r="F66" s="755"/>
      <c r="G66" s="755"/>
      <c r="H66" s="1190"/>
    </row>
    <row r="67" spans="1:8" ht="16.5" thickBot="1">
      <c r="B67" s="1214"/>
      <c r="C67" s="1215"/>
      <c r="D67" s="1215"/>
      <c r="E67" s="1215"/>
      <c r="F67" s="1215"/>
      <c r="G67" s="1215"/>
      <c r="H67" s="1216" t="s">
        <v>289</v>
      </c>
    </row>
    <row r="68" spans="1:8">
      <c r="E68" s="711"/>
    </row>
    <row r="69" spans="1:8" hidden="1"/>
    <row r="70" spans="1:8" hidden="1"/>
    <row r="71" spans="1:8" ht="47.25" hidden="1">
      <c r="A71" s="625" t="s">
        <v>1071</v>
      </c>
      <c r="B71" s="229" t="s">
        <v>298</v>
      </c>
      <c r="C71" s="229" t="s">
        <v>1068</v>
      </c>
      <c r="D71" s="229" t="s">
        <v>1069</v>
      </c>
      <c r="E71" s="229" t="s">
        <v>1070</v>
      </c>
      <c r="F71" s="229" t="s">
        <v>1193</v>
      </c>
      <c r="G71" s="630" t="s">
        <v>1072</v>
      </c>
      <c r="H71" s="630" t="s">
        <v>1194</v>
      </c>
    </row>
    <row r="72" spans="1:8" ht="18.75" hidden="1">
      <c r="A72" s="229">
        <v>1</v>
      </c>
      <c r="B72" s="718">
        <v>43556</v>
      </c>
      <c r="C72" s="626">
        <v>3955.1113659514313</v>
      </c>
      <c r="D72" s="627">
        <v>3674</v>
      </c>
      <c r="E72" s="590">
        <f>C72/D72</f>
        <v>1.0765137087510701</v>
      </c>
      <c r="F72" s="626">
        <v>46020.971075437963</v>
      </c>
      <c r="G72" s="631" t="s">
        <v>514</v>
      </c>
      <c r="H72" s="631" t="s">
        <v>514</v>
      </c>
    </row>
    <row r="73" spans="1:8" ht="18.75" hidden="1">
      <c r="A73" s="229">
        <v>2</v>
      </c>
      <c r="B73" s="718">
        <v>43586</v>
      </c>
      <c r="C73" s="626">
        <v>4038.8268058023777</v>
      </c>
      <c r="D73" s="627">
        <v>3628</v>
      </c>
      <c r="E73" s="590">
        <f>C73/D73</f>
        <v>1.1132378185783842</v>
      </c>
      <c r="F73" s="626">
        <v>45618.977012370873</v>
      </c>
      <c r="G73" s="632">
        <f>(E73/$E$72)^(1/(A73-$A$72))-1</f>
        <v>3.4113926770073411E-2</v>
      </c>
      <c r="H73" s="632">
        <f>(F73/$F$72)^(1/(A73-$A$72))-1</f>
        <v>-8.7350191374305775E-3</v>
      </c>
    </row>
    <row r="74" spans="1:8" ht="18.75" hidden="1">
      <c r="A74" s="229">
        <v>3</v>
      </c>
      <c r="B74" s="718">
        <v>43617</v>
      </c>
      <c r="C74" s="626">
        <v>4095.2884930424034</v>
      </c>
      <c r="D74" s="627">
        <v>3810</v>
      </c>
      <c r="E74" s="590">
        <f t="shared" ref="E74:E95" si="22">C74/D74</f>
        <v>1.0748788695649352</v>
      </c>
      <c r="F74" s="626">
        <v>46495.16339011892</v>
      </c>
      <c r="G74" s="632">
        <f t="shared" ref="G74:G104" si="23">(E74/$E$72)^(1/(A74-$A$72))-1</f>
        <v>-7.596096215709558E-4</v>
      </c>
      <c r="H74" s="632">
        <f t="shared" ref="H74:H104" si="24">(F74/$F$72)^(1/(A74-$A$72))-1</f>
        <v>5.1387123855624051E-3</v>
      </c>
    </row>
    <row r="75" spans="1:8" ht="18.75" hidden="1">
      <c r="A75" s="229">
        <v>4</v>
      </c>
      <c r="B75" s="718">
        <v>43647</v>
      </c>
      <c r="C75" s="626">
        <v>4017.2325353605584</v>
      </c>
      <c r="D75" s="627">
        <v>3637</v>
      </c>
      <c r="E75" s="590">
        <f t="shared" si="22"/>
        <v>1.1045456517351</v>
      </c>
      <c r="F75" s="626">
        <v>45008.568794705498</v>
      </c>
      <c r="G75" s="632">
        <f t="shared" si="23"/>
        <v>8.6055847122274987E-3</v>
      </c>
      <c r="H75" s="632">
        <f t="shared" si="24"/>
        <v>-7.3873438577473083E-3</v>
      </c>
    </row>
    <row r="76" spans="1:8" ht="18.75" hidden="1">
      <c r="A76" s="229">
        <v>5</v>
      </c>
      <c r="B76" s="718">
        <v>43678</v>
      </c>
      <c r="C76" s="626">
        <v>4000.8946862322641</v>
      </c>
      <c r="D76" s="627">
        <v>3347</v>
      </c>
      <c r="E76" s="590">
        <f t="shared" si="22"/>
        <v>1.1953673995315997</v>
      </c>
      <c r="F76" s="626">
        <v>44096.786217975503</v>
      </c>
      <c r="G76" s="632">
        <f t="shared" si="23"/>
        <v>2.6527198307227051E-2</v>
      </c>
      <c r="H76" s="632">
        <f t="shared" si="24"/>
        <v>-1.062076725594352E-2</v>
      </c>
    </row>
    <row r="77" spans="1:8" ht="18.75" hidden="1">
      <c r="A77" s="229">
        <v>6</v>
      </c>
      <c r="B77" s="718">
        <v>43709</v>
      </c>
      <c r="C77" s="626">
        <v>4217.2683042348672</v>
      </c>
      <c r="D77" s="627">
        <v>3383</v>
      </c>
      <c r="E77" s="590">
        <f t="shared" si="22"/>
        <v>1.2466060609621246</v>
      </c>
      <c r="F77" s="626">
        <v>44096.786217975503</v>
      </c>
      <c r="G77" s="632">
        <f t="shared" si="23"/>
        <v>2.9774027108820267E-2</v>
      </c>
      <c r="H77" s="632">
        <f t="shared" si="24"/>
        <v>-8.5056764229576309E-3</v>
      </c>
    </row>
    <row r="78" spans="1:8" ht="18.75" hidden="1">
      <c r="A78" s="229">
        <v>7</v>
      </c>
      <c r="B78" s="718">
        <v>43739</v>
      </c>
      <c r="C78" s="626">
        <v>4073.315144550359</v>
      </c>
      <c r="D78" s="627">
        <v>3466</v>
      </c>
      <c r="E78" s="590">
        <f t="shared" si="22"/>
        <v>1.1752207572274549</v>
      </c>
      <c r="F78" s="626">
        <v>45185.778262823296</v>
      </c>
      <c r="G78" s="632">
        <f t="shared" si="23"/>
        <v>1.4728787840486923E-2</v>
      </c>
      <c r="H78" s="632">
        <f t="shared" si="24"/>
        <v>-3.0478107028507617E-3</v>
      </c>
    </row>
    <row r="79" spans="1:8" ht="18.75" hidden="1">
      <c r="A79" s="229">
        <v>8</v>
      </c>
      <c r="B79" s="718">
        <v>43770</v>
      </c>
      <c r="C79" s="626">
        <v>4175.2952092321939</v>
      </c>
      <c r="D79" s="627">
        <v>3572</v>
      </c>
      <c r="E79" s="590">
        <f t="shared" si="22"/>
        <v>1.168895635283369</v>
      </c>
      <c r="F79" s="626">
        <v>45176.740513499513</v>
      </c>
      <c r="G79" s="632">
        <f t="shared" si="23"/>
        <v>1.183110164293466E-2</v>
      </c>
      <c r="H79" s="632">
        <f t="shared" si="24"/>
        <v>-2.6414796460173529E-3</v>
      </c>
    </row>
    <row r="80" spans="1:8" ht="18.75" hidden="1">
      <c r="A80" s="229">
        <v>9</v>
      </c>
      <c r="B80" s="718">
        <v>43800</v>
      </c>
      <c r="C80" s="626">
        <v>4243.2961985201318</v>
      </c>
      <c r="D80" s="627">
        <v>3672</v>
      </c>
      <c r="E80" s="590">
        <f t="shared" si="22"/>
        <v>1.155581753409622</v>
      </c>
      <c r="F80" s="626">
        <v>44453.230079476562</v>
      </c>
      <c r="G80" s="632">
        <f t="shared" si="23"/>
        <v>8.8988776016176718E-3</v>
      </c>
      <c r="H80" s="632">
        <f t="shared" si="24"/>
        <v>-4.323073314842607E-3</v>
      </c>
    </row>
    <row r="81" spans="1:8" ht="18.75" hidden="1">
      <c r="A81" s="229">
        <v>10</v>
      </c>
      <c r="B81" s="718">
        <v>43831</v>
      </c>
      <c r="C81" s="626">
        <v>4314.6131105282047</v>
      </c>
      <c r="D81" s="627">
        <v>3703</v>
      </c>
      <c r="E81" s="590">
        <f t="shared" si="22"/>
        <v>1.1651669215577112</v>
      </c>
      <c r="F81" s="626">
        <v>49426.152513138739</v>
      </c>
      <c r="G81" s="632">
        <f t="shared" si="23"/>
        <v>8.8317254368788234E-3</v>
      </c>
      <c r="H81" s="632">
        <f t="shared" si="24"/>
        <v>7.9629258617706089E-3</v>
      </c>
    </row>
    <row r="82" spans="1:8" ht="18.75" hidden="1">
      <c r="A82" s="229">
        <v>11</v>
      </c>
      <c r="B82" s="718">
        <v>43862</v>
      </c>
      <c r="C82" s="626">
        <v>4473.5695017954604</v>
      </c>
      <c r="D82" s="627">
        <v>3844</v>
      </c>
      <c r="E82" s="590">
        <f t="shared" si="22"/>
        <v>1.1637797871476223</v>
      </c>
      <c r="F82" s="626">
        <v>50664.481024151188</v>
      </c>
      <c r="G82" s="632">
        <f t="shared" si="23"/>
        <v>7.8249937670276104E-3</v>
      </c>
      <c r="H82" s="632">
        <f t="shared" si="24"/>
        <v>9.6591420782272674E-3</v>
      </c>
    </row>
    <row r="83" spans="1:8" ht="18.75" hidden="1">
      <c r="A83" s="229">
        <v>12</v>
      </c>
      <c r="B83" s="718">
        <v>43891</v>
      </c>
      <c r="C83" s="626">
        <v>5004.021754308681</v>
      </c>
      <c r="D83" s="627">
        <v>3779</v>
      </c>
      <c r="E83" s="590">
        <f t="shared" si="22"/>
        <v>1.3241655872740621</v>
      </c>
      <c r="F83" s="626">
        <v>44482.681775313788</v>
      </c>
      <c r="G83" s="632">
        <f t="shared" si="23"/>
        <v>1.9001430924029172E-2</v>
      </c>
      <c r="H83" s="632">
        <f t="shared" si="24"/>
        <v>-3.0858875318998669E-3</v>
      </c>
    </row>
    <row r="84" spans="1:8" ht="18.75" hidden="1">
      <c r="A84" s="229">
        <v>13</v>
      </c>
      <c r="B84" s="718">
        <v>43922</v>
      </c>
      <c r="C84" s="626">
        <v>4531.5501790461631</v>
      </c>
      <c r="D84" s="627">
        <v>3849</v>
      </c>
      <c r="E84" s="590">
        <f t="shared" si="22"/>
        <v>1.177331821004459</v>
      </c>
      <c r="F84" s="626">
        <v>37721.58791751384</v>
      </c>
      <c r="G84" s="632">
        <f t="shared" si="23"/>
        <v>7.4881417252852245E-3</v>
      </c>
      <c r="H84" s="632">
        <f t="shared" si="24"/>
        <v>-1.6435491540283564E-2</v>
      </c>
    </row>
    <row r="85" spans="1:8" ht="18.75" hidden="1">
      <c r="A85" s="229">
        <v>14</v>
      </c>
      <c r="B85" s="718">
        <v>43952</v>
      </c>
      <c r="C85" s="626">
        <v>4197.6822764293793</v>
      </c>
      <c r="D85" s="627">
        <v>3792</v>
      </c>
      <c r="E85" s="590">
        <f t="shared" si="22"/>
        <v>1.1069837226870727</v>
      </c>
      <c r="F85" s="626">
        <v>46010.198601631077</v>
      </c>
      <c r="G85" s="632">
        <f t="shared" si="23"/>
        <v>2.1493201252060778E-3</v>
      </c>
      <c r="H85" s="632">
        <f t="shared" si="24"/>
        <v>-1.8007907034656156E-5</v>
      </c>
    </row>
    <row r="86" spans="1:8" ht="18.75" hidden="1">
      <c r="A86" s="229">
        <v>15</v>
      </c>
      <c r="B86" s="718">
        <v>43983</v>
      </c>
      <c r="C86" s="626">
        <v>4054.0667746016056</v>
      </c>
      <c r="D86" s="627">
        <v>3707</v>
      </c>
      <c r="E86" s="590">
        <f t="shared" si="22"/>
        <v>1.0936247031566242</v>
      </c>
      <c r="F86" s="626">
        <v>41643.140997030452</v>
      </c>
      <c r="G86" s="632">
        <f t="shared" si="23"/>
        <v>1.1270505528788721E-3</v>
      </c>
      <c r="H86" s="632">
        <f t="shared" si="24"/>
        <v>-7.1146070999293931E-3</v>
      </c>
    </row>
    <row r="87" spans="1:8" ht="18.75" hidden="1">
      <c r="A87" s="229">
        <v>16</v>
      </c>
      <c r="B87" s="718">
        <v>44013</v>
      </c>
      <c r="C87" s="626">
        <v>4010.4094073735273</v>
      </c>
      <c r="D87" s="627">
        <v>3752</v>
      </c>
      <c r="E87" s="590">
        <f t="shared" si="22"/>
        <v>1.0688724433298313</v>
      </c>
      <c r="F87" s="626">
        <v>46414.23138138988</v>
      </c>
      <c r="G87" s="632">
        <f t="shared" si="23"/>
        <v>-4.7478530268663111E-4</v>
      </c>
      <c r="H87" s="632">
        <f t="shared" si="24"/>
        <v>5.67423421537816E-4</v>
      </c>
    </row>
    <row r="88" spans="1:8" ht="18.75" hidden="1">
      <c r="A88" s="229">
        <v>17</v>
      </c>
      <c r="B88" s="718">
        <v>44044</v>
      </c>
      <c r="C88" s="626">
        <v>3986.8618599446754</v>
      </c>
      <c r="D88" s="627">
        <v>3706</v>
      </c>
      <c r="E88" s="590">
        <f t="shared" si="22"/>
        <v>1.0757857150417365</v>
      </c>
      <c r="F88" s="626">
        <v>40939.981354685748</v>
      </c>
      <c r="G88" s="632">
        <f t="shared" si="23"/>
        <v>-4.2279105051501453E-5</v>
      </c>
      <c r="H88" s="632">
        <f t="shared" si="24"/>
        <v>-7.2852120449383717E-3</v>
      </c>
    </row>
    <row r="89" spans="1:8" ht="18.75" hidden="1">
      <c r="A89" s="229">
        <v>18</v>
      </c>
      <c r="B89" s="718">
        <v>44075</v>
      </c>
      <c r="C89" s="626">
        <v>3965.3446084272969</v>
      </c>
      <c r="D89" s="627">
        <v>3707</v>
      </c>
      <c r="E89" s="590">
        <f t="shared" si="22"/>
        <v>1.0696910192682214</v>
      </c>
      <c r="F89" s="626">
        <v>43288.585984267265</v>
      </c>
      <c r="G89" s="632">
        <f t="shared" si="23"/>
        <v>-3.739261054416243E-4</v>
      </c>
      <c r="H89" s="632">
        <f t="shared" si="24"/>
        <v>-3.5940077098403078E-3</v>
      </c>
    </row>
    <row r="90" spans="1:8" ht="18.75" hidden="1">
      <c r="A90" s="229">
        <v>19</v>
      </c>
      <c r="B90" s="718">
        <v>44105</v>
      </c>
      <c r="C90" s="626">
        <v>3858.9610247137621</v>
      </c>
      <c r="D90" s="627">
        <v>3737</v>
      </c>
      <c r="E90" s="590">
        <f t="shared" si="22"/>
        <v>1.0326360783285422</v>
      </c>
      <c r="F90" s="626">
        <v>39913.432295702194</v>
      </c>
      <c r="G90" s="632">
        <f t="shared" si="23"/>
        <v>-2.309159786794468E-3</v>
      </c>
      <c r="H90" s="632">
        <f t="shared" si="24"/>
        <v>-7.8790335867027217E-3</v>
      </c>
    </row>
    <row r="91" spans="1:8" ht="18.75" hidden="1">
      <c r="A91" s="229">
        <v>20</v>
      </c>
      <c r="B91" s="718">
        <v>44136</v>
      </c>
      <c r="C91" s="626">
        <v>3965.827643920903</v>
      </c>
      <c r="D91" s="627">
        <v>3867</v>
      </c>
      <c r="E91" s="590">
        <f t="shared" si="22"/>
        <v>1.0255566702665899</v>
      </c>
      <c r="F91" s="626">
        <v>46652.282841983222</v>
      </c>
      <c r="G91" s="632">
        <f t="shared" si="23"/>
        <v>-2.5489676502761238E-3</v>
      </c>
      <c r="H91" s="632">
        <f t="shared" si="24"/>
        <v>7.1734538341727827E-4</v>
      </c>
    </row>
    <row r="92" spans="1:8" ht="18.75" hidden="1">
      <c r="A92" s="229">
        <v>21</v>
      </c>
      <c r="B92" s="718">
        <v>44166</v>
      </c>
      <c r="C92" s="626">
        <v>4189.521913117047</v>
      </c>
      <c r="D92" s="627">
        <v>3994</v>
      </c>
      <c r="E92" s="590">
        <f t="shared" si="22"/>
        <v>1.0489539091429763</v>
      </c>
      <c r="F92" s="626">
        <v>46652.282841983222</v>
      </c>
      <c r="G92" s="632">
        <f t="shared" si="23"/>
        <v>-1.2958787105720182E-3</v>
      </c>
      <c r="H92" s="632">
        <f t="shared" si="24"/>
        <v>6.8146589593442997E-4</v>
      </c>
    </row>
    <row r="93" spans="1:8" ht="18.75" hidden="1">
      <c r="A93" s="229">
        <v>22</v>
      </c>
      <c r="B93" s="718">
        <v>44197</v>
      </c>
      <c r="C93" s="626">
        <v>4166.8721492050363</v>
      </c>
      <c r="D93" s="627">
        <v>4033</v>
      </c>
      <c r="E93" s="590">
        <f t="shared" si="22"/>
        <v>1.0331941852727589</v>
      </c>
      <c r="F93" s="626">
        <v>38308.803036188932</v>
      </c>
      <c r="G93" s="632">
        <f t="shared" si="23"/>
        <v>-1.9539275436466497E-3</v>
      </c>
      <c r="H93" s="632">
        <f t="shared" si="24"/>
        <v>-8.6961332933810365E-3</v>
      </c>
    </row>
    <row r="94" spans="1:8" ht="18.75" hidden="1">
      <c r="A94" s="229">
        <v>23</v>
      </c>
      <c r="B94" s="718">
        <v>44228</v>
      </c>
      <c r="C94" s="626">
        <v>4037.727158077616</v>
      </c>
      <c r="D94" s="627">
        <v>4076</v>
      </c>
      <c r="E94" s="590">
        <f t="shared" si="22"/>
        <v>0.99061019579921883</v>
      </c>
      <c r="F94" s="626">
        <v>36027.786169005994</v>
      </c>
      <c r="G94" s="632">
        <f t="shared" si="23"/>
        <v>-3.7729525802888686E-3</v>
      </c>
      <c r="H94" s="632">
        <f t="shared" si="24"/>
        <v>-1.1065895093519629E-2</v>
      </c>
    </row>
    <row r="95" spans="1:8" ht="18.75" hidden="1">
      <c r="A95" s="229">
        <v>24</v>
      </c>
      <c r="B95" s="718">
        <v>44256</v>
      </c>
      <c r="C95" s="626">
        <v>4157.6574560512126</v>
      </c>
      <c r="D95" s="627">
        <v>4107</v>
      </c>
      <c r="E95" s="590">
        <f t="shared" si="22"/>
        <v>1.0123344183226717</v>
      </c>
      <c r="F95" s="626">
        <v>42769.779688428716</v>
      </c>
      <c r="G95" s="632">
        <f t="shared" si="23"/>
        <v>-2.6689885577634298E-3</v>
      </c>
      <c r="H95" s="632">
        <f t="shared" si="24"/>
        <v>-3.1803846280199499E-3</v>
      </c>
    </row>
    <row r="96" spans="1:8" ht="18.75" hidden="1">
      <c r="A96" s="229">
        <v>25</v>
      </c>
      <c r="B96" s="718">
        <v>44287</v>
      </c>
      <c r="C96" s="626">
        <v>4387.798756570578</v>
      </c>
      <c r="D96" s="627">
        <v>4179</v>
      </c>
      <c r="E96" s="590">
        <f t="shared" ref="E96:E104" si="25">C96/D96</f>
        <v>1.0499638087031773</v>
      </c>
      <c r="F96" s="626">
        <v>42769.779688428716</v>
      </c>
      <c r="G96" s="632">
        <f t="shared" si="23"/>
        <v>-1.0399620569604417E-3</v>
      </c>
      <c r="H96" s="632">
        <f t="shared" si="24"/>
        <v>-3.0480707709416022E-3</v>
      </c>
    </row>
    <row r="97" spans="1:11" ht="18.75" hidden="1">
      <c r="A97" s="229">
        <v>26</v>
      </c>
      <c r="B97" s="718">
        <v>44317</v>
      </c>
      <c r="C97" s="626">
        <v>4359.8350316440219</v>
      </c>
      <c r="D97" s="627">
        <v>4199</v>
      </c>
      <c r="E97" s="590">
        <f t="shared" si="25"/>
        <v>1.0383031749568996</v>
      </c>
      <c r="F97" s="626">
        <v>47949.748751777501</v>
      </c>
      <c r="G97" s="632">
        <f t="shared" si="23"/>
        <v>-1.4445537916594198E-3</v>
      </c>
      <c r="H97" s="632">
        <f t="shared" si="24"/>
        <v>1.6436042782574933E-3</v>
      </c>
    </row>
    <row r="98" spans="1:11" ht="18.75" hidden="1">
      <c r="A98" s="229">
        <v>27</v>
      </c>
      <c r="B98" s="718">
        <v>44348</v>
      </c>
      <c r="C98" s="626">
        <v>4224.3545573912279</v>
      </c>
      <c r="D98" s="627">
        <v>4028</v>
      </c>
      <c r="E98" s="590">
        <f t="shared" si="25"/>
        <v>1.0487474074953396</v>
      </c>
      <c r="F98" s="626">
        <v>42187.61687226627</v>
      </c>
      <c r="G98" s="632">
        <f t="shared" si="23"/>
        <v>-1.0045437807171265E-3</v>
      </c>
      <c r="H98" s="632">
        <f t="shared" si="24"/>
        <v>-3.339428840163805E-3</v>
      </c>
    </row>
    <row r="99" spans="1:11" ht="18.75" hidden="1">
      <c r="A99" s="229">
        <v>28</v>
      </c>
      <c r="B99" s="718">
        <v>44378</v>
      </c>
      <c r="C99" s="626">
        <v>4417.9045046390593</v>
      </c>
      <c r="D99" s="627">
        <v>3861</v>
      </c>
      <c r="E99" s="590">
        <f t="shared" si="25"/>
        <v>1.1442384109399273</v>
      </c>
      <c r="F99" s="626">
        <v>42560.06907742675</v>
      </c>
      <c r="G99" s="632">
        <f t="shared" si="23"/>
        <v>2.2622402022696164E-3</v>
      </c>
      <c r="H99" s="632">
        <f t="shared" si="24"/>
        <v>-2.8913939733484773E-3</v>
      </c>
    </row>
    <row r="100" spans="1:11" ht="18.75" hidden="1">
      <c r="A100" s="229">
        <v>29</v>
      </c>
      <c r="B100" s="718">
        <v>44409</v>
      </c>
      <c r="C100" s="626">
        <v>4465.46050919356</v>
      </c>
      <c r="D100" s="627">
        <v>3889</v>
      </c>
      <c r="E100" s="590">
        <f t="shared" si="25"/>
        <v>1.1482284672649936</v>
      </c>
      <c r="F100" s="626">
        <v>41156.785904847937</v>
      </c>
      <c r="G100" s="632">
        <f t="shared" si="23"/>
        <v>2.3059588964031708E-3</v>
      </c>
      <c r="H100" s="632">
        <f t="shared" si="24"/>
        <v>-3.9816366615840204E-3</v>
      </c>
    </row>
    <row r="101" spans="1:11" ht="18.75" hidden="1">
      <c r="A101" s="229">
        <v>30</v>
      </c>
      <c r="B101" s="718">
        <v>44440</v>
      </c>
      <c r="C101" s="626">
        <v>4362.7376039040482</v>
      </c>
      <c r="D101" s="627">
        <v>3832</v>
      </c>
      <c r="E101" s="590">
        <f t="shared" si="25"/>
        <v>1.1385014623966723</v>
      </c>
      <c r="F101" s="626">
        <v>44435.620619889494</v>
      </c>
      <c r="G101" s="632">
        <f t="shared" si="23"/>
        <v>1.9323859910882479E-3</v>
      </c>
      <c r="H101" s="632">
        <f t="shared" si="24"/>
        <v>-1.2080893799507608E-3</v>
      </c>
    </row>
    <row r="102" spans="1:11" ht="18.75" hidden="1">
      <c r="A102" s="229">
        <v>31</v>
      </c>
      <c r="B102" s="718">
        <v>44470</v>
      </c>
      <c r="C102" s="626">
        <v>4603.7373197883999</v>
      </c>
      <c r="D102" s="627">
        <v>3824</v>
      </c>
      <c r="E102" s="590">
        <f t="shared" si="25"/>
        <v>1.2039062028735354</v>
      </c>
      <c r="F102" s="626">
        <v>44467.130909488988</v>
      </c>
      <c r="G102" s="632">
        <f t="shared" si="23"/>
        <v>3.7350803239806218E-3</v>
      </c>
      <c r="H102" s="632">
        <f t="shared" si="24"/>
        <v>-1.1442415406215378E-3</v>
      </c>
    </row>
    <row r="103" spans="1:11" ht="18.75" hidden="1">
      <c r="A103" s="229">
        <v>32</v>
      </c>
      <c r="B103" s="718">
        <v>44501</v>
      </c>
      <c r="C103" s="626">
        <v>4691.3831923286307</v>
      </c>
      <c r="D103" s="627">
        <v>3904</v>
      </c>
      <c r="E103" s="590">
        <f t="shared" si="25"/>
        <v>1.2016862685268008</v>
      </c>
      <c r="F103" s="626">
        <v>44467.130909488988</v>
      </c>
      <c r="G103" s="632">
        <f t="shared" si="23"/>
        <v>3.5546260375578509E-3</v>
      </c>
      <c r="H103" s="632">
        <f t="shared" si="24"/>
        <v>-1.1073509675810778E-3</v>
      </c>
    </row>
    <row r="104" spans="1:11" ht="18.75" hidden="1">
      <c r="A104" s="229">
        <v>33</v>
      </c>
      <c r="B104" s="718">
        <v>44531</v>
      </c>
      <c r="C104" s="626">
        <v>4525.1032255844439</v>
      </c>
      <c r="D104" s="627">
        <v>4008</v>
      </c>
      <c r="E104" s="590">
        <f t="shared" si="25"/>
        <v>1.1290177708544022</v>
      </c>
      <c r="F104" s="626">
        <v>48326.986106394477</v>
      </c>
      <c r="G104" s="632">
        <f t="shared" si="23"/>
        <v>1.4892407284357034E-3</v>
      </c>
      <c r="H104" s="632">
        <f t="shared" si="24"/>
        <v>1.5290721419385367E-3</v>
      </c>
    </row>
    <row r="105" spans="1:11" ht="18.75" hidden="1">
      <c r="A105" s="229">
        <v>34</v>
      </c>
      <c r="B105" s="718">
        <v>44562</v>
      </c>
      <c r="C105" s="626">
        <v>4589.4669542880938</v>
      </c>
      <c r="D105" s="627">
        <v>4018</v>
      </c>
      <c r="E105" s="590">
        <f t="shared" ref="E105:E107" si="26">C105/D105</f>
        <v>1.1422267183394956</v>
      </c>
      <c r="F105" s="626">
        <v>46308.271698594239</v>
      </c>
      <c r="G105" s="632">
        <f t="shared" ref="G105:G107" si="27">(E105/$E$72)^(1/(A105-$A$72))-1</f>
        <v>1.7971233994344971E-3</v>
      </c>
      <c r="H105" s="632">
        <f t="shared" ref="H105:H107" si="28">(F105/$F$72)^(1/(A105-$A$72))-1</f>
        <v>1.8860608652504496E-4</v>
      </c>
    </row>
    <row r="106" spans="1:11" ht="18.75" hidden="1">
      <c r="A106" s="229">
        <v>35</v>
      </c>
      <c r="B106" s="718">
        <v>44593</v>
      </c>
      <c r="C106" s="626">
        <v>4472.3911490325618</v>
      </c>
      <c r="D106" s="627">
        <v>4008</v>
      </c>
      <c r="E106" s="590">
        <f t="shared" si="26"/>
        <v>1.1158660551478448</v>
      </c>
      <c r="F106" s="626">
        <v>48709.668893868955</v>
      </c>
      <c r="G106" s="632">
        <f t="shared" si="27"/>
        <v>1.0565301524760873E-3</v>
      </c>
      <c r="H106" s="632">
        <f t="shared" si="28"/>
        <v>1.6714059724838304E-3</v>
      </c>
    </row>
    <row r="107" spans="1:11" ht="18.75" hidden="1">
      <c r="A107" s="229">
        <v>36</v>
      </c>
      <c r="B107" s="718">
        <v>44621</v>
      </c>
      <c r="C107" s="626">
        <v>4104.2625825414234</v>
      </c>
      <c r="D107" s="627">
        <v>4009</v>
      </c>
      <c r="E107" s="590">
        <f t="shared" si="26"/>
        <v>1.0237621807287163</v>
      </c>
      <c r="F107" s="626">
        <v>56790.127599683045</v>
      </c>
      <c r="G107" s="632">
        <f t="shared" si="27"/>
        <v>-1.4344992077452989E-3</v>
      </c>
      <c r="H107" s="632">
        <f t="shared" si="28"/>
        <v>6.0256621368666163E-3</v>
      </c>
    </row>
    <row r="108" spans="1:11" ht="18.75" hidden="1">
      <c r="A108" s="229">
        <v>1</v>
      </c>
      <c r="B108" s="718">
        <v>44652</v>
      </c>
      <c r="C108" s="626">
        <v>4972.9624658906614</v>
      </c>
      <c r="D108" s="627">
        <v>4082</v>
      </c>
      <c r="E108" s="590">
        <f t="shared" ref="E108:E110" si="29">C108/D108</f>
        <v>1.218266160188795</v>
      </c>
      <c r="F108" s="626">
        <v>53042.454806412374</v>
      </c>
      <c r="G108" s="632" t="e">
        <f>(E108/$E$72)^(1/(A108-$A$72))-1</f>
        <v>#DIV/0!</v>
      </c>
      <c r="H108" s="632" t="e">
        <f>(F108/$F$72)^(1/(A108-$A$72))-1</f>
        <v>#DIV/0!</v>
      </c>
    </row>
    <row r="109" spans="1:11" ht="18.75" hidden="1">
      <c r="A109" s="229">
        <v>2</v>
      </c>
      <c r="B109" s="718">
        <v>44682</v>
      </c>
      <c r="C109" s="626">
        <v>5438.5342273414099</v>
      </c>
      <c r="D109" s="627">
        <v>4240</v>
      </c>
      <c r="E109" s="590">
        <f t="shared" si="29"/>
        <v>1.2826731668258042</v>
      </c>
      <c r="F109" s="626">
        <v>62364.153979095732</v>
      </c>
      <c r="G109" s="632">
        <f t="shared" ref="G109:G110" si="30">(E109/$E$108)^(1/(A109-$A$108))-1</f>
        <v>5.2867763007574675E-2</v>
      </c>
      <c r="H109" s="632">
        <f t="shared" ref="H109:H110" si="31">(F109/$F$108)^(1/(A109-$A$108))-1</f>
        <v>0.17574034246160952</v>
      </c>
    </row>
    <row r="110" spans="1:11" ht="18.75" hidden="1">
      <c r="A110" s="229">
        <v>3</v>
      </c>
      <c r="B110" s="718">
        <v>44713</v>
      </c>
      <c r="C110" s="626">
        <v>5539.7753880530472</v>
      </c>
      <c r="D110" s="627">
        <v>4216</v>
      </c>
      <c r="E110" s="590">
        <f t="shared" si="29"/>
        <v>1.313988469652051</v>
      </c>
      <c r="F110" s="626">
        <v>59918.774288344408</v>
      </c>
      <c r="G110" s="632">
        <f t="shared" si="30"/>
        <v>3.8543487381299313E-2</v>
      </c>
      <c r="H110" s="632">
        <f t="shared" si="31"/>
        <v>6.2844312463043339E-2</v>
      </c>
      <c r="I110" s="628" t="s">
        <v>1073</v>
      </c>
      <c r="J110" s="629">
        <f>AVERAGE(G109:G111)</f>
        <v>4.0145252321787707E-2</v>
      </c>
      <c r="K110" s="629">
        <f>AVERAGE(H109:H111)</f>
        <v>0.10102618199647077</v>
      </c>
    </row>
    <row r="111" spans="1:11" ht="18.75" hidden="1">
      <c r="A111" s="229">
        <v>4</v>
      </c>
      <c r="B111" s="718">
        <v>44743</v>
      </c>
      <c r="C111" s="626">
        <v>5215.5650096825439</v>
      </c>
      <c r="D111" s="627">
        <v>3929</v>
      </c>
      <c r="E111" s="590">
        <f t="shared" ref="E111" si="32">C111/D111</f>
        <v>1.32745355298614</v>
      </c>
      <c r="F111" s="626">
        <v>63981.311098704326</v>
      </c>
      <c r="G111" s="632">
        <f>(E111/$E$108)^(1/(A111-$A$108))-1</f>
        <v>2.902450657648914E-2</v>
      </c>
      <c r="H111" s="632">
        <f>(F111/$F$108)^(1/(A111-$A$108))-1</f>
        <v>6.4493891064759445E-2</v>
      </c>
      <c r="I111" s="628" t="s">
        <v>1074</v>
      </c>
      <c r="J111" s="629">
        <f>(1+J110)^12-1</f>
        <v>0.60371759205512121</v>
      </c>
      <c r="K111" s="629">
        <f>(1+K110)^12-1</f>
        <v>2.1737430108268168</v>
      </c>
    </row>
    <row r="112" spans="1:11" ht="18.75" hidden="1">
      <c r="A112" s="751">
        <v>5</v>
      </c>
      <c r="B112" s="760" t="s">
        <v>1303</v>
      </c>
      <c r="C112" s="626">
        <f>AVERAGE(C108:C111)</f>
        <v>5291.7092727419158</v>
      </c>
      <c r="D112" s="626">
        <f t="shared" ref="D112:F112" si="33">AVERAGE(D108:D111)</f>
        <v>4116.75</v>
      </c>
      <c r="E112" s="626">
        <f t="shared" si="33"/>
        <v>1.2855953374131974</v>
      </c>
      <c r="F112" s="626">
        <f t="shared" si="33"/>
        <v>59826.673543139208</v>
      </c>
    </row>
    <row r="113" spans="3:10" ht="18.75" hidden="1">
      <c r="C113" s="719"/>
    </row>
    <row r="114" spans="3:10" ht="18.75" hidden="1">
      <c r="C114" s="719"/>
    </row>
    <row r="115" spans="3:10" ht="18.75">
      <c r="C115" s="719"/>
    </row>
    <row r="116" spans="3:10" ht="18.75" hidden="1">
      <c r="C116" s="719"/>
      <c r="G116" s="35" t="s">
        <v>1075</v>
      </c>
      <c r="H116" s="688">
        <v>0.11</v>
      </c>
    </row>
    <row r="117" spans="3:10" ht="25.15" hidden="1" customHeight="1">
      <c r="C117" s="719"/>
      <c r="G117" s="35" t="s">
        <v>1076</v>
      </c>
      <c r="H117" s="633">
        <v>0.15</v>
      </c>
      <c r="I117" s="118" t="s">
        <v>1448</v>
      </c>
      <c r="J117" s="118"/>
    </row>
    <row r="118" spans="3:10" ht="18.75" hidden="1">
      <c r="C118" s="719"/>
    </row>
    <row r="119" spans="3:10" hidden="1"/>
    <row r="120" spans="3:10" hidden="1"/>
    <row r="121" spans="3:10" hidden="1"/>
    <row r="122" spans="3:10" hidden="1">
      <c r="C122" s="35">
        <v>3955.1113659514313</v>
      </c>
      <c r="D122" s="35">
        <v>3674</v>
      </c>
    </row>
    <row r="123" spans="3:10" hidden="1">
      <c r="C123" s="35">
        <v>4038.8268058023777</v>
      </c>
      <c r="D123" s="35">
        <v>3628</v>
      </c>
    </row>
    <row r="124" spans="3:10" hidden="1">
      <c r="C124" s="35">
        <v>4095.2884930424034</v>
      </c>
      <c r="D124" s="35">
        <v>3810</v>
      </c>
    </row>
    <row r="125" spans="3:10" hidden="1">
      <c r="C125" s="35">
        <v>4017.2325353605584</v>
      </c>
      <c r="D125" s="35">
        <v>3637</v>
      </c>
    </row>
    <row r="126" spans="3:10" hidden="1">
      <c r="C126" s="35">
        <v>4000.8946862322641</v>
      </c>
      <c r="D126" s="35">
        <v>3347</v>
      </c>
    </row>
    <row r="127" spans="3:10" hidden="1">
      <c r="C127" s="35">
        <v>4217.2683042348672</v>
      </c>
      <c r="D127" s="35">
        <v>3383</v>
      </c>
    </row>
    <row r="128" spans="3:10" hidden="1">
      <c r="C128" s="35">
        <v>4073.315144550359</v>
      </c>
      <c r="D128" s="35">
        <v>3466</v>
      </c>
    </row>
    <row r="129" spans="3:4" hidden="1">
      <c r="C129" s="35">
        <v>4175.2952092321939</v>
      </c>
      <c r="D129" s="35">
        <v>3572</v>
      </c>
    </row>
    <row r="130" spans="3:4" hidden="1">
      <c r="C130" s="35">
        <v>4243.2961985201318</v>
      </c>
      <c r="D130" s="35">
        <v>3672</v>
      </c>
    </row>
    <row r="131" spans="3:4" hidden="1">
      <c r="C131" s="35">
        <v>4314.6131105282047</v>
      </c>
      <c r="D131" s="35">
        <v>3703</v>
      </c>
    </row>
    <row r="132" spans="3:4" hidden="1">
      <c r="C132" s="35">
        <v>4473.5695017954604</v>
      </c>
      <c r="D132" s="35">
        <v>3844</v>
      </c>
    </row>
    <row r="133" spans="3:4" hidden="1">
      <c r="C133" s="35">
        <v>5004.021754308681</v>
      </c>
      <c r="D133" s="35">
        <v>3779</v>
      </c>
    </row>
    <row r="134" spans="3:4" hidden="1">
      <c r="C134" s="35">
        <v>4531.5501790461631</v>
      </c>
      <c r="D134" s="35">
        <v>3849</v>
      </c>
    </row>
    <row r="135" spans="3:4" hidden="1">
      <c r="C135" s="35">
        <v>4197.6822764293793</v>
      </c>
      <c r="D135" s="35">
        <v>3792</v>
      </c>
    </row>
    <row r="136" spans="3:4" hidden="1">
      <c r="C136" s="35">
        <v>4054.0667746016056</v>
      </c>
      <c r="D136" s="35">
        <v>3707</v>
      </c>
    </row>
    <row r="137" spans="3:4" hidden="1">
      <c r="C137" s="35">
        <v>4010.4094073735273</v>
      </c>
      <c r="D137" s="35">
        <v>3752</v>
      </c>
    </row>
    <row r="138" spans="3:4" hidden="1">
      <c r="C138" s="35">
        <v>3986.8618599446754</v>
      </c>
      <c r="D138" s="35">
        <v>3706</v>
      </c>
    </row>
    <row r="139" spans="3:4" hidden="1">
      <c r="C139" s="35">
        <v>3965.3446084272969</v>
      </c>
      <c r="D139" s="35">
        <v>3707</v>
      </c>
    </row>
    <row r="140" spans="3:4" hidden="1">
      <c r="C140" s="35">
        <v>3858.9610247137621</v>
      </c>
      <c r="D140" s="35">
        <v>3737</v>
      </c>
    </row>
    <row r="141" spans="3:4" hidden="1">
      <c r="C141" s="35">
        <v>3965.827643920903</v>
      </c>
      <c r="D141" s="35">
        <v>3867</v>
      </c>
    </row>
    <row r="142" spans="3:4" hidden="1">
      <c r="C142" s="35">
        <v>4189.521913117047</v>
      </c>
      <c r="D142" s="35">
        <v>3994</v>
      </c>
    </row>
    <row r="143" spans="3:4" hidden="1">
      <c r="C143" s="35">
        <v>4166.8721492050363</v>
      </c>
      <c r="D143" s="35">
        <v>4033</v>
      </c>
    </row>
    <row r="144" spans="3:4" hidden="1">
      <c r="C144" s="35">
        <v>4037.727158077616</v>
      </c>
      <c r="D144" s="35">
        <v>4076</v>
      </c>
    </row>
    <row r="145" spans="3:4" hidden="1">
      <c r="C145" s="35">
        <v>4157.6574560512126</v>
      </c>
      <c r="D145" s="35">
        <v>4107</v>
      </c>
    </row>
    <row r="146" spans="3:4" hidden="1">
      <c r="C146" s="35">
        <v>4387.798756570578</v>
      </c>
      <c r="D146" s="35">
        <v>4179</v>
      </c>
    </row>
    <row r="147" spans="3:4" hidden="1">
      <c r="C147" s="35">
        <v>4359.8350316440219</v>
      </c>
      <c r="D147" s="35">
        <v>4199</v>
      </c>
    </row>
    <row r="148" spans="3:4" hidden="1">
      <c r="C148" s="35">
        <v>4224.3545573912279</v>
      </c>
      <c r="D148" s="35">
        <v>4028</v>
      </c>
    </row>
    <row r="149" spans="3:4" hidden="1">
      <c r="C149" s="35">
        <v>4417.9045046390593</v>
      </c>
      <c r="D149" s="35">
        <v>3861</v>
      </c>
    </row>
    <row r="150" spans="3:4" hidden="1">
      <c r="C150" s="35">
        <v>4465.46050919356</v>
      </c>
      <c r="D150" s="35">
        <v>3889</v>
      </c>
    </row>
    <row r="151" spans="3:4" hidden="1">
      <c r="C151" s="35">
        <v>4362.7376039040482</v>
      </c>
      <c r="D151" s="35">
        <v>3832</v>
      </c>
    </row>
    <row r="152" spans="3:4" hidden="1">
      <c r="C152" s="35">
        <v>4603.7373197883999</v>
      </c>
      <c r="D152" s="35">
        <v>3824</v>
      </c>
    </row>
    <row r="153" spans="3:4" hidden="1">
      <c r="C153" s="35">
        <v>4691.3831923286307</v>
      </c>
      <c r="D153" s="35">
        <v>3904</v>
      </c>
    </row>
    <row r="154" spans="3:4" hidden="1">
      <c r="C154" s="35">
        <v>4525.1032255844439</v>
      </c>
      <c r="D154" s="35">
        <v>4008</v>
      </c>
    </row>
    <row r="155" spans="3:4" hidden="1">
      <c r="C155" s="35">
        <v>4589.4669542880938</v>
      </c>
      <c r="D155" s="35">
        <v>4018</v>
      </c>
    </row>
    <row r="156" spans="3:4" hidden="1">
      <c r="C156" s="35">
        <v>4472.3911490325618</v>
      </c>
      <c r="D156" s="35">
        <v>4008</v>
      </c>
    </row>
    <row r="157" spans="3:4" hidden="1">
      <c r="C157" s="35">
        <v>4104.2625825414234</v>
      </c>
      <c r="D157" s="35">
        <v>4009</v>
      </c>
    </row>
    <row r="158" spans="3:4" hidden="1">
      <c r="C158" s="35">
        <v>4972.9624658906614</v>
      </c>
      <c r="D158" s="35">
        <v>4082</v>
      </c>
    </row>
    <row r="159" spans="3:4" hidden="1">
      <c r="C159" s="35">
        <v>5438.5342273414099</v>
      </c>
      <c r="D159" s="35">
        <v>4240</v>
      </c>
    </row>
    <row r="160" spans="3:4" hidden="1">
      <c r="C160" s="35">
        <v>5539.7753880530472</v>
      </c>
      <c r="D160" s="35">
        <v>4216</v>
      </c>
    </row>
    <row r="161" spans="3:9" hidden="1">
      <c r="C161" s="35">
        <v>5215.5650096825439</v>
      </c>
      <c r="D161" s="35">
        <v>3929</v>
      </c>
    </row>
    <row r="162" spans="3:9" hidden="1"/>
    <row r="163" spans="3:9" hidden="1"/>
    <row r="164" spans="3:9" hidden="1"/>
    <row r="165" spans="3:9" hidden="1"/>
    <row r="166" spans="3:9" hidden="1">
      <c r="H166" s="35">
        <v>46020.971075437963</v>
      </c>
      <c r="I166" s="35">
        <v>10014.252537028697</v>
      </c>
    </row>
    <row r="167" spans="3:9" hidden="1">
      <c r="H167" s="35">
        <v>45618.977012370873</v>
      </c>
      <c r="I167" s="35">
        <v>10006.625711634093</v>
      </c>
    </row>
    <row r="168" spans="3:9" hidden="1">
      <c r="H168" s="35">
        <v>46495.16339011892</v>
      </c>
      <c r="I168" s="35">
        <v>10023.249142500779</v>
      </c>
    </row>
    <row r="169" spans="3:9" hidden="1">
      <c r="H169" s="35">
        <v>45008.568794705498</v>
      </c>
      <c r="I169" s="35">
        <v>9990.9812559743987</v>
      </c>
    </row>
    <row r="170" spans="3:9" hidden="1">
      <c r="H170" s="35">
        <v>44096.786217975503</v>
      </c>
      <c r="I170" s="35">
        <v>9973.5737633900426</v>
      </c>
    </row>
    <row r="171" spans="3:9" hidden="1">
      <c r="H171" s="35">
        <v>44096.786217975503</v>
      </c>
      <c r="I171" s="35">
        <v>9973.5737633900426</v>
      </c>
    </row>
    <row r="172" spans="3:9" hidden="1">
      <c r="H172" s="35">
        <v>45185.778262823296</v>
      </c>
      <c r="I172" s="35">
        <v>9990.364669353241</v>
      </c>
    </row>
    <row r="173" spans="3:9" hidden="1">
      <c r="H173" s="35">
        <v>45176.740513499513</v>
      </c>
      <c r="I173" s="35">
        <v>10003.351897486447</v>
      </c>
    </row>
    <row r="174" spans="3:9" hidden="1">
      <c r="H174" s="35">
        <v>44453.230079476562</v>
      </c>
      <c r="I174" s="35">
        <v>10009.071552570005</v>
      </c>
    </row>
    <row r="175" spans="3:9" hidden="1">
      <c r="H175" s="35">
        <v>49426.152513138739</v>
      </c>
      <c r="I175" s="35">
        <v>10066.76505161077</v>
      </c>
    </row>
    <row r="176" spans="3:9" hidden="1">
      <c r="H176" s="35">
        <v>50664.481024151188</v>
      </c>
      <c r="I176" s="35">
        <v>10080</v>
      </c>
    </row>
    <row r="177" spans="8:9" hidden="1">
      <c r="H177" s="35">
        <v>44482.681775313788</v>
      </c>
      <c r="I177" s="35">
        <v>10013.812885154062</v>
      </c>
    </row>
    <row r="178" spans="8:9" hidden="1">
      <c r="H178" s="35">
        <v>37721.58791751384</v>
      </c>
      <c r="I178" s="35">
        <v>9950</v>
      </c>
    </row>
    <row r="179" spans="8:9" hidden="1">
      <c r="H179" s="35">
        <v>46010.198601631077</v>
      </c>
      <c r="I179" s="35">
        <v>10079.999999999998</v>
      </c>
    </row>
    <row r="180" spans="8:9" hidden="1">
      <c r="H180" s="35">
        <v>41643.140997030452</v>
      </c>
      <c r="I180" s="35">
        <v>10024.157675911794</v>
      </c>
    </row>
    <row r="181" spans="8:9" hidden="1">
      <c r="H181" s="35">
        <v>46414.23138138988</v>
      </c>
      <c r="I181" s="35">
        <v>10080</v>
      </c>
    </row>
    <row r="182" spans="8:9" hidden="1">
      <c r="H182" s="35">
        <v>40939.981354685748</v>
      </c>
      <c r="I182" s="35">
        <v>10031.021873979758</v>
      </c>
    </row>
    <row r="183" spans="8:9" hidden="1">
      <c r="H183" s="35">
        <v>43288.585984267265</v>
      </c>
      <c r="I183" s="35">
        <v>10050.967789598109</v>
      </c>
    </row>
    <row r="184" spans="8:9" hidden="1">
      <c r="H184" s="35">
        <v>39913.432295702194</v>
      </c>
      <c r="I184" s="35">
        <v>9997.5442754625074</v>
      </c>
    </row>
    <row r="185" spans="8:9" hidden="1">
      <c r="H185" s="35">
        <v>46652.282841983222</v>
      </c>
      <c r="I185" s="35">
        <v>10080</v>
      </c>
    </row>
    <row r="186" spans="8:9" hidden="1">
      <c r="H186" s="35">
        <v>46652.282841983222</v>
      </c>
      <c r="I186" s="35">
        <v>10080</v>
      </c>
    </row>
    <row r="187" spans="8:9" hidden="1">
      <c r="H187" s="35">
        <v>38308.803036188932</v>
      </c>
      <c r="I187" s="35">
        <v>9977.910234419669</v>
      </c>
    </row>
    <row r="188" spans="8:9" hidden="1">
      <c r="H188" s="35">
        <v>36027.786169005994</v>
      </c>
      <c r="I188" s="35">
        <v>9950</v>
      </c>
    </row>
    <row r="189" spans="8:9" hidden="1">
      <c r="H189" s="35">
        <v>42769.779688428716</v>
      </c>
      <c r="I189" s="35">
        <v>10019.15245335176</v>
      </c>
    </row>
    <row r="190" spans="8:9" hidden="1">
      <c r="H190" s="35">
        <v>42769.779688428716</v>
      </c>
      <c r="I190" s="35">
        <v>10019.15245335176</v>
      </c>
    </row>
    <row r="191" spans="8:9" hidden="1">
      <c r="H191" s="35">
        <v>47949.748751777501</v>
      </c>
      <c r="I191" s="35">
        <v>10063.117750508822</v>
      </c>
    </row>
    <row r="192" spans="8:9" hidden="1">
      <c r="H192" s="35">
        <v>42187.61687226627</v>
      </c>
      <c r="I192" s="35">
        <v>9989.5736068007009</v>
      </c>
    </row>
    <row r="193" spans="8:9" hidden="1">
      <c r="H193" s="35">
        <v>42560.06907742675</v>
      </c>
      <c r="I193" s="35">
        <v>9994.2450495049507</v>
      </c>
    </row>
    <row r="194" spans="8:9" hidden="1">
      <c r="H194" s="35">
        <v>41156.785904847937</v>
      </c>
      <c r="I194" s="35">
        <v>9976.6445175502176</v>
      </c>
    </row>
    <row r="195" spans="8:9" hidden="1">
      <c r="H195" s="35">
        <v>44435.620619889494</v>
      </c>
      <c r="I195" s="35">
        <v>9997.574677948769</v>
      </c>
    </row>
    <row r="196" spans="8:9" hidden="1">
      <c r="H196" s="35">
        <v>44467.130909488988</v>
      </c>
      <c r="I196" s="35">
        <v>9974.3822243190752</v>
      </c>
    </row>
    <row r="197" spans="8:9" hidden="1">
      <c r="H197" s="35">
        <v>44467.130909488988</v>
      </c>
      <c r="I197" s="35">
        <v>9974.3822243190752</v>
      </c>
    </row>
    <row r="198" spans="8:9" hidden="1">
      <c r="H198" s="35">
        <v>48326.986106394477</v>
      </c>
      <c r="I198" s="35">
        <v>9998.6333142298499</v>
      </c>
    </row>
    <row r="199" spans="8:9" hidden="1">
      <c r="H199" s="35">
        <v>46308.271698594239</v>
      </c>
      <c r="I199" s="35">
        <v>9970.3125</v>
      </c>
    </row>
    <row r="200" spans="8:9" hidden="1">
      <c r="H200" s="35">
        <v>48709.668893868955</v>
      </c>
      <c r="I200" s="35">
        <v>9977.9574846083688</v>
      </c>
    </row>
    <row r="201" spans="8:9" hidden="1">
      <c r="H201" s="35">
        <v>56790.127599683045</v>
      </c>
      <c r="I201" s="35">
        <v>10058.187561535937</v>
      </c>
    </row>
    <row r="202" spans="8:9" hidden="1">
      <c r="H202" s="35">
        <v>53042.454806412374</v>
      </c>
      <c r="I202" s="35">
        <v>10008.314100228097</v>
      </c>
    </row>
    <row r="203" spans="8:9" hidden="1">
      <c r="H203" s="35">
        <v>62364.153979095732</v>
      </c>
      <c r="I203" s="35">
        <v>10038.038913283157</v>
      </c>
    </row>
    <row r="204" spans="8:9" hidden="1">
      <c r="H204" s="35">
        <v>59918.774288344408</v>
      </c>
      <c r="I204" s="35">
        <v>10002.687423792106</v>
      </c>
    </row>
    <row r="205" spans="8:9" hidden="1">
      <c r="H205" s="35">
        <v>63981.311098704326</v>
      </c>
      <c r="I205" s="35">
        <v>9992.8607913631786</v>
      </c>
    </row>
    <row r="206" spans="8:9" hidden="1"/>
  </sheetData>
  <mergeCells count="16">
    <mergeCell ref="D47:H47"/>
    <mergeCell ref="B4:H4"/>
    <mergeCell ref="B53:H53"/>
    <mergeCell ref="C7:D7"/>
    <mergeCell ref="D28:H28"/>
    <mergeCell ref="B28:B29"/>
    <mergeCell ref="C28:C29"/>
    <mergeCell ref="B9:B10"/>
    <mergeCell ref="C9:C10"/>
    <mergeCell ref="D9:H9"/>
    <mergeCell ref="B8:H8"/>
    <mergeCell ref="B27:H27"/>
    <mergeCell ref="B46:H46"/>
    <mergeCell ref="B47:B48"/>
    <mergeCell ref="C47:C48"/>
    <mergeCell ref="B52:H52"/>
  </mergeCells>
  <printOptions horizontalCentered="1"/>
  <pageMargins left="0.7" right="0.7" top="0.75" bottom="0.75" header="0.3" footer="0.3"/>
  <pageSetup paperSize="9" scale="60" orientation="portrait" r:id="rId1"/>
</worksheet>
</file>

<file path=xl/worksheets/sheet31.xml><?xml version="1.0" encoding="utf-8"?>
<worksheet xmlns="http://schemas.openxmlformats.org/spreadsheetml/2006/main" xmlns:r="http://schemas.openxmlformats.org/officeDocument/2006/relationships">
  <dimension ref="B1:S38"/>
  <sheetViews>
    <sheetView topLeftCell="A10" workbookViewId="0">
      <selection activeCell="U14" sqref="U14"/>
    </sheetView>
  </sheetViews>
  <sheetFormatPr defaultRowHeight="12.75"/>
  <cols>
    <col min="2" max="2" width="4.1640625" style="231" customWidth="1"/>
    <col min="3" max="3" width="39.6640625" customWidth="1"/>
    <col min="4" max="4" width="19.5" hidden="1" customWidth="1"/>
    <col min="5" max="5" width="19.6640625" hidden="1" customWidth="1"/>
    <col min="6" max="6" width="21.83203125" hidden="1" customWidth="1"/>
    <col min="7" max="7" width="21.1640625" hidden="1" customWidth="1"/>
    <col min="8" max="8" width="15.1640625" customWidth="1"/>
    <col min="9" max="9" width="20.5" customWidth="1"/>
    <col min="10" max="10" width="19" customWidth="1"/>
    <col min="11" max="11" width="15.33203125" hidden="1" customWidth="1"/>
    <col min="12" max="12" width="14.83203125" customWidth="1"/>
    <col min="13" max="13" width="15" customWidth="1"/>
    <col min="14" max="14" width="17.1640625" customWidth="1"/>
    <col min="16" max="16" width="21" hidden="1" customWidth="1"/>
    <col min="17" max="17" width="10.6640625" hidden="1" customWidth="1"/>
    <col min="18" max="18" width="20.83203125" hidden="1" customWidth="1"/>
    <col min="19" max="19" width="13.33203125" customWidth="1"/>
  </cols>
  <sheetData>
    <row r="1" spans="2:19" ht="15.75">
      <c r="B1" s="1178"/>
      <c r="C1" s="842"/>
      <c r="D1" s="842"/>
      <c r="E1" s="842"/>
      <c r="F1" s="842"/>
      <c r="G1" s="842"/>
      <c r="H1" s="842"/>
      <c r="I1" s="842"/>
      <c r="J1" s="842"/>
      <c r="K1" s="842"/>
      <c r="L1" s="842"/>
      <c r="M1" s="842"/>
      <c r="N1" s="844"/>
    </row>
    <row r="2" spans="2:19" ht="15.75">
      <c r="B2" s="1177"/>
      <c r="C2" s="785"/>
      <c r="D2" s="785"/>
      <c r="E2" s="785"/>
      <c r="F2" s="785"/>
      <c r="G2" s="785"/>
      <c r="H2" s="1360"/>
      <c r="I2" s="1360"/>
      <c r="J2" s="1360"/>
      <c r="K2" s="1360"/>
      <c r="L2" s="1360"/>
      <c r="M2" s="1360"/>
      <c r="N2" s="1357"/>
    </row>
    <row r="3" spans="2:19" ht="15.75">
      <c r="B3" s="1177"/>
      <c r="C3" s="785"/>
      <c r="D3" s="785"/>
      <c r="E3" s="785"/>
      <c r="F3" s="785"/>
      <c r="G3" s="1360"/>
      <c r="H3" s="1360"/>
      <c r="I3" s="1360"/>
      <c r="J3" s="699"/>
      <c r="K3" s="1360"/>
      <c r="L3" s="1360"/>
      <c r="M3" s="1360"/>
      <c r="N3" s="525" t="s">
        <v>753</v>
      </c>
    </row>
    <row r="4" spans="2:19" ht="27.75" customHeight="1">
      <c r="B4" s="2087" t="s">
        <v>692</v>
      </c>
      <c r="C4" s="2088"/>
      <c r="D4" s="2088"/>
      <c r="E4" s="2088"/>
      <c r="F4" s="2088"/>
      <c r="G4" s="2088"/>
      <c r="H4" s="2088"/>
      <c r="I4" s="2088"/>
      <c r="J4" s="2088"/>
      <c r="K4" s="2088"/>
      <c r="L4" s="2088"/>
      <c r="M4" s="2088"/>
      <c r="N4" s="2089"/>
    </row>
    <row r="5" spans="2:19" ht="15.75">
      <c r="B5" s="1376"/>
      <c r="C5" s="1377"/>
      <c r="D5" s="1377"/>
      <c r="E5" s="1377"/>
      <c r="F5" s="1377"/>
      <c r="G5" s="1377"/>
      <c r="H5" s="1360"/>
      <c r="I5" s="1360"/>
      <c r="J5" s="1360"/>
      <c r="K5" s="1360"/>
      <c r="L5" s="1360"/>
      <c r="M5" s="1360"/>
      <c r="N5" s="1357"/>
    </row>
    <row r="6" spans="2:19" ht="37.5" customHeight="1">
      <c r="B6" s="1376"/>
      <c r="C6" s="1724" t="s">
        <v>445</v>
      </c>
      <c r="D6" s="1724"/>
      <c r="E6" s="2090" t="s">
        <v>841</v>
      </c>
      <c r="F6" s="2090"/>
      <c r="G6" s="2090"/>
      <c r="H6" s="2090"/>
      <c r="I6" s="2090"/>
      <c r="J6" s="2090"/>
      <c r="K6" s="2090"/>
      <c r="L6" s="2090"/>
      <c r="M6" s="2090"/>
      <c r="N6" s="2091"/>
    </row>
    <row r="7" spans="2:19" ht="37.5" customHeight="1">
      <c r="B7" s="1376"/>
      <c r="C7" s="1724" t="s">
        <v>446</v>
      </c>
      <c r="D7" s="1724"/>
      <c r="E7" s="2090" t="s">
        <v>415</v>
      </c>
      <c r="F7" s="2090"/>
      <c r="G7" s="2090"/>
      <c r="H7" s="2090"/>
      <c r="I7" s="2090"/>
      <c r="J7" s="2090"/>
      <c r="K7" s="2090"/>
      <c r="L7" s="2090"/>
      <c r="M7" s="2090"/>
      <c r="N7" s="2091"/>
    </row>
    <row r="8" spans="2:19" ht="15.75">
      <c r="B8" s="1177"/>
      <c r="C8" s="785"/>
      <c r="D8" s="785"/>
      <c r="E8" s="785"/>
      <c r="F8" s="785"/>
      <c r="G8" s="785"/>
      <c r="H8" s="1360"/>
      <c r="I8" s="1360"/>
      <c r="J8" s="1360"/>
      <c r="K8" s="1360"/>
      <c r="L8" s="1360"/>
      <c r="M8" s="2092" t="s">
        <v>840</v>
      </c>
      <c r="N8" s="2093"/>
    </row>
    <row r="9" spans="2:19" ht="15.75">
      <c r="B9" s="1177"/>
      <c r="C9" s="785"/>
      <c r="D9" s="785"/>
      <c r="E9" s="785"/>
      <c r="F9" s="785"/>
      <c r="G9" s="1360"/>
      <c r="H9" s="1360"/>
      <c r="I9" s="1360"/>
      <c r="J9" s="1360"/>
      <c r="K9" s="1360"/>
      <c r="L9" s="1360"/>
      <c r="M9" s="1360"/>
      <c r="N9" s="1357"/>
    </row>
    <row r="10" spans="2:19" ht="31.5">
      <c r="B10" s="1755" t="s">
        <v>528</v>
      </c>
      <c r="C10" s="1352" t="s">
        <v>690</v>
      </c>
      <c r="D10" s="1352" t="s">
        <v>554</v>
      </c>
      <c r="E10" s="1352" t="s">
        <v>897</v>
      </c>
      <c r="F10" s="1352" t="s">
        <v>401</v>
      </c>
      <c r="G10" s="1352" t="s">
        <v>402</v>
      </c>
      <c r="H10" s="1352" t="s">
        <v>856</v>
      </c>
      <c r="I10" s="1761" t="s">
        <v>857</v>
      </c>
      <c r="J10" s="1761"/>
      <c r="K10" s="235"/>
      <c r="L10" s="1352" t="s">
        <v>858</v>
      </c>
      <c r="M10" s="1352" t="s">
        <v>859</v>
      </c>
      <c r="N10" s="474" t="s">
        <v>860</v>
      </c>
    </row>
    <row r="11" spans="2:19" ht="63">
      <c r="B11" s="1755"/>
      <c r="C11" s="1759" t="s">
        <v>676</v>
      </c>
      <c r="D11" s="1352"/>
      <c r="E11" s="1352"/>
      <c r="F11" s="1352"/>
      <c r="G11" s="1352"/>
      <c r="H11" s="1759">
        <v>366</v>
      </c>
      <c r="I11" s="1668" t="s">
        <v>1279</v>
      </c>
      <c r="J11" s="1668" t="s">
        <v>1280</v>
      </c>
      <c r="K11" s="235"/>
      <c r="L11" s="1759">
        <v>365</v>
      </c>
      <c r="M11" s="1759">
        <v>365</v>
      </c>
      <c r="N11" s="2100">
        <v>366</v>
      </c>
    </row>
    <row r="12" spans="2:19" ht="15.75">
      <c r="B12" s="1755"/>
      <c r="C12" s="1760"/>
      <c r="D12" s="492"/>
      <c r="E12" s="492"/>
      <c r="F12" s="492"/>
      <c r="G12" s="492"/>
      <c r="H12" s="1760"/>
      <c r="I12" s="1352">
        <v>197</v>
      </c>
      <c r="J12" s="1352">
        <f>365-I12</f>
        <v>168</v>
      </c>
      <c r="K12" s="343"/>
      <c r="L12" s="1760"/>
      <c r="M12" s="1760"/>
      <c r="N12" s="2101"/>
      <c r="R12" s="745"/>
      <c r="S12" s="745"/>
    </row>
    <row r="13" spans="2:19" ht="15.75">
      <c r="B13" s="975">
        <v>1</v>
      </c>
      <c r="C13" s="1352" t="s">
        <v>547</v>
      </c>
      <c r="D13" s="1132">
        <f>'Form 13'!F69</f>
        <v>4457.6500000000005</v>
      </c>
      <c r="E13" s="1132">
        <f>'Form 13'!G69</f>
        <v>4624.1099999999997</v>
      </c>
      <c r="F13" s="1132">
        <f>'Form 13'!H69</f>
        <v>4767.12</v>
      </c>
      <c r="G13" s="1132">
        <f>'Form 13'!I69</f>
        <v>5003.97</v>
      </c>
      <c r="H13" s="1132">
        <f>'Form 13'!J69</f>
        <v>5198.6099999999997</v>
      </c>
      <c r="I13" s="1132">
        <f>'Form 13'!K69</f>
        <v>5238.51</v>
      </c>
      <c r="J13" s="1132">
        <f>'Form 13'!L69</f>
        <v>3873.2306666666664</v>
      </c>
      <c r="K13" s="1132">
        <f>'Form 13'!M69</f>
        <v>5238.51</v>
      </c>
      <c r="L13" s="1132">
        <f>'Form 13'!N69</f>
        <v>3873.2306666666664</v>
      </c>
      <c r="M13" s="1132">
        <f>'Form 13'!O69</f>
        <v>3873.2306666666664</v>
      </c>
      <c r="N13" s="889">
        <f>'Form 13'!P69</f>
        <v>3873.2306666666664</v>
      </c>
      <c r="R13" s="745"/>
      <c r="S13" s="745"/>
    </row>
    <row r="14" spans="2:19" ht="51.75" customHeight="1">
      <c r="B14" s="975">
        <v>2</v>
      </c>
      <c r="C14" s="523" t="s">
        <v>537</v>
      </c>
      <c r="D14" s="1132">
        <f>'Form 13'!F70</f>
        <v>0</v>
      </c>
      <c r="E14" s="1132">
        <f>'Form 13'!G70</f>
        <v>0</v>
      </c>
      <c r="F14" s="1132">
        <f>'Form 13'!H70</f>
        <v>96.26700000000001</v>
      </c>
      <c r="G14" s="1132">
        <f>'Form 13'!I70</f>
        <v>495.98266666666666</v>
      </c>
      <c r="H14" s="1132">
        <f>'Form 13'!J70</f>
        <v>916.33933333333334</v>
      </c>
      <c r="I14" s="1132">
        <f>'Form 13'!K70</f>
        <v>1357.7893333333334</v>
      </c>
      <c r="J14" s="1132">
        <f>'Form 13'!L70</f>
        <v>0</v>
      </c>
      <c r="K14" s="1132">
        <f>'Form 13'!M70</f>
        <v>1357.7893333333334</v>
      </c>
      <c r="L14" s="1132">
        <f>'Form 13'!N70</f>
        <v>308.26</v>
      </c>
      <c r="M14" s="1132">
        <f>'Form 13'!O70</f>
        <v>646.27</v>
      </c>
      <c r="N14" s="889">
        <f>'Form 13'!P70</f>
        <v>1096.95</v>
      </c>
    </row>
    <row r="15" spans="2:19" ht="15.75">
      <c r="B15" s="975">
        <v>3</v>
      </c>
      <c r="C15" s="523" t="s">
        <v>539</v>
      </c>
      <c r="D15" s="1132">
        <f>'Form 13'!F71</f>
        <v>4457.6500000000005</v>
      </c>
      <c r="E15" s="1132">
        <f>'Form 13'!G71</f>
        <v>4624.1099999999997</v>
      </c>
      <c r="F15" s="1132">
        <f>'Form 13'!H71</f>
        <v>4670.8530000000001</v>
      </c>
      <c r="G15" s="1132">
        <f>'Form 13'!I71</f>
        <v>4507.9873333333335</v>
      </c>
      <c r="H15" s="1132">
        <f>'Form 13'!J71</f>
        <v>4282.2706666666663</v>
      </c>
      <c r="I15" s="1132">
        <f>'Form 13'!K71</f>
        <v>3880.7206666666661</v>
      </c>
      <c r="J15" s="1132">
        <f>'Form 13'!L71</f>
        <v>3873.2306666666664</v>
      </c>
      <c r="K15" s="1132">
        <f>'Form 13'!M71</f>
        <v>3880.7206666666671</v>
      </c>
      <c r="L15" s="1132">
        <f>'Form 13'!N71</f>
        <v>3564.9706666666666</v>
      </c>
      <c r="M15" s="1132">
        <f>'Form 13'!O71</f>
        <v>3226.9606666666664</v>
      </c>
      <c r="N15" s="889">
        <f>'Form 13'!P71</f>
        <v>2776.2806666666661</v>
      </c>
    </row>
    <row r="16" spans="2:19" ht="15.75">
      <c r="B16" s="975">
        <v>4</v>
      </c>
      <c r="C16" s="523" t="s">
        <v>1105</v>
      </c>
      <c r="D16" s="1132">
        <f>'Form 13'!F72</f>
        <v>166.46</v>
      </c>
      <c r="E16" s="1132">
        <f>'Form 13'!G72</f>
        <v>143.01</v>
      </c>
      <c r="F16" s="1132">
        <f>'Form 13'!H72</f>
        <v>236.85000000000002</v>
      </c>
      <c r="G16" s="1132">
        <f>'Form 13'!I72</f>
        <v>194.64000000000001</v>
      </c>
      <c r="H16" s="1132">
        <f>'Form 13'!J72</f>
        <v>39.900000000000006</v>
      </c>
      <c r="I16" s="1132">
        <f>'Form 13'!K72</f>
        <v>103.51999999999998</v>
      </c>
      <c r="J16" s="1132">
        <f>'Form 13'!L72</f>
        <v>0</v>
      </c>
      <c r="K16" s="1132">
        <f>'Form 13'!M72</f>
        <v>103.51999999999998</v>
      </c>
      <c r="L16" s="1132">
        <f>'Form 13'!N72</f>
        <v>0</v>
      </c>
      <c r="M16" s="1132">
        <f>'Form 13'!O72</f>
        <v>0</v>
      </c>
      <c r="N16" s="889">
        <f>'Form 13'!P72</f>
        <v>0</v>
      </c>
    </row>
    <row r="17" spans="2:18" ht="31.5">
      <c r="B17" s="975">
        <v>5</v>
      </c>
      <c r="C17" s="523" t="s">
        <v>541</v>
      </c>
      <c r="D17" s="1132">
        <f>'Form 13'!F73</f>
        <v>0</v>
      </c>
      <c r="E17" s="1132">
        <f>'Form 13'!G73</f>
        <v>96.26700000000001</v>
      </c>
      <c r="F17" s="1132">
        <f>'Form 13'!H73</f>
        <v>399.71566666666666</v>
      </c>
      <c r="G17" s="1132">
        <f>'Form 13'!I73</f>
        <v>420.35666666666668</v>
      </c>
      <c r="H17" s="1132">
        <f>'Form 13'!J73</f>
        <v>441.45</v>
      </c>
      <c r="I17" s="1132">
        <f>'Form 13'!K73</f>
        <v>111.00999999999999</v>
      </c>
      <c r="J17" s="1132">
        <f>'Form 13'!L73</f>
        <v>308.26</v>
      </c>
      <c r="K17" s="1132">
        <f>'Form 13'!M73</f>
        <v>419.27</v>
      </c>
      <c r="L17" s="1132">
        <f>'Form 13'!N73</f>
        <v>338.01</v>
      </c>
      <c r="M17" s="1132">
        <f>'Form 13'!O73</f>
        <v>450.68</v>
      </c>
      <c r="N17" s="889">
        <f>'Form 13'!P73</f>
        <v>450.68</v>
      </c>
    </row>
    <row r="18" spans="2:18" ht="15.75">
      <c r="B18" s="975">
        <v>6</v>
      </c>
      <c r="C18" s="523" t="s">
        <v>542</v>
      </c>
      <c r="D18" s="1132">
        <f>'Form 13'!F74</f>
        <v>4624.1099999999997</v>
      </c>
      <c r="E18" s="1132">
        <f>'Form 13'!G74</f>
        <v>4670.8530000000001</v>
      </c>
      <c r="F18" s="1132">
        <f>'Form 13'!H74</f>
        <v>4507.9873333333335</v>
      </c>
      <c r="G18" s="1132">
        <f>'Form 13'!I74</f>
        <v>4282.2706666666672</v>
      </c>
      <c r="H18" s="1132">
        <f>'Form 13'!J74</f>
        <v>3880.7206666666671</v>
      </c>
      <c r="I18" s="1132">
        <f>'Form 13'!K74</f>
        <v>3873.2306666666664</v>
      </c>
      <c r="J18" s="1132">
        <f>'Form 13'!L74</f>
        <v>3564.9706666666666</v>
      </c>
      <c r="K18" s="1132">
        <f>'Form 13'!M74</f>
        <v>3564.9706666666671</v>
      </c>
      <c r="L18" s="1132">
        <f>'Form 13'!N74</f>
        <v>3226.9606666666664</v>
      </c>
      <c r="M18" s="1132">
        <f>'Form 13'!O74</f>
        <v>2776.2806666666665</v>
      </c>
      <c r="N18" s="889">
        <f>'Form 13'!P74</f>
        <v>2325.6006666666663</v>
      </c>
    </row>
    <row r="19" spans="2:18" ht="15.75">
      <c r="B19" s="975">
        <v>7</v>
      </c>
      <c r="C19" s="523" t="s">
        <v>543</v>
      </c>
      <c r="D19" s="1132" t="e">
        <f>'Form 13'!F75</f>
        <v>#REF!</v>
      </c>
      <c r="E19" s="1132" t="e">
        <f>'Form 13'!G75</f>
        <v>#REF!</v>
      </c>
      <c r="F19" s="1132">
        <f>'Form 13'!H75</f>
        <v>4512.499577625571</v>
      </c>
      <c r="G19" s="1132">
        <f>'Form 13'!I75</f>
        <v>4395.1290000000008</v>
      </c>
      <c r="H19" s="1132">
        <f>'Form 13'!J75</f>
        <v>4081.4956666666667</v>
      </c>
      <c r="I19" s="1132">
        <f>'Form 13'!K75</f>
        <v>3876.9756666666663</v>
      </c>
      <c r="J19" s="1132">
        <f>'Form 13'!L75</f>
        <v>3719.1006666666663</v>
      </c>
      <c r="K19" s="1132">
        <f>'Form 13'!M75</f>
        <v>3722.8456666666671</v>
      </c>
      <c r="L19" s="1132">
        <f>'Form 13'!N75</f>
        <v>3395.9656666666665</v>
      </c>
      <c r="M19" s="1132">
        <f>'Form 13'!O75</f>
        <v>3001.6206666666667</v>
      </c>
      <c r="N19" s="889">
        <f>'Form 13'!P75</f>
        <v>2550.9406666666664</v>
      </c>
    </row>
    <row r="20" spans="2:18" ht="15.75">
      <c r="B20" s="975">
        <v>8</v>
      </c>
      <c r="C20" s="269" t="s">
        <v>544</v>
      </c>
      <c r="D20" s="1180" t="e">
        <f>'Form 13'!F76</f>
        <v>#REF!</v>
      </c>
      <c r="E20" s="1180" t="e">
        <f>'Form 13'!G76</f>
        <v>#REF!</v>
      </c>
      <c r="F20" s="1180">
        <f>'Form 13'!H76</f>
        <v>9.3765105729414516E-2</v>
      </c>
      <c r="G20" s="1180">
        <f>'Form 13'!I76</f>
        <v>9.139334767698111E-2</v>
      </c>
      <c r="H20" s="1180">
        <f>'Form 13'!J76</f>
        <v>9.5215095577299402E-2</v>
      </c>
      <c r="I20" s="1180">
        <f>'Form 13'!K76</f>
        <v>0.10195915094509365</v>
      </c>
      <c r="J20" s="1180">
        <f>'Form 13'!L76</f>
        <v>7.1468410809095523E-2</v>
      </c>
      <c r="K20" s="1180">
        <f>'Form 13'!M76</f>
        <v>9.0170270286967724E-2</v>
      </c>
      <c r="L20" s="1180">
        <f>'Form 13'!N76</f>
        <v>7.1614387149771933E-2</v>
      </c>
      <c r="M20" s="1180">
        <f>'Form 13'!O76</f>
        <v>7.1640404939020713E-2</v>
      </c>
      <c r="N20" s="1181">
        <f>'Form 13'!P76</f>
        <v>7.1645459426601055E-2</v>
      </c>
    </row>
    <row r="21" spans="2:18" ht="15.75">
      <c r="B21" s="975">
        <v>9</v>
      </c>
      <c r="C21" s="523" t="s">
        <v>383</v>
      </c>
      <c r="D21" s="1132">
        <f>'Form 13'!F77</f>
        <v>99.66</v>
      </c>
      <c r="E21" s="1132">
        <f>'Form 13'!G77</f>
        <v>150.57</v>
      </c>
      <c r="F21" s="1132">
        <f>'Form 13'!H77</f>
        <v>423.11500000000001</v>
      </c>
      <c r="G21" s="1132">
        <f>'Form 13'!I77</f>
        <v>401.68555278218236</v>
      </c>
      <c r="H21" s="1132">
        <f>'Form 13'!J77</f>
        <v>388.62</v>
      </c>
      <c r="I21" s="1132">
        <f>'Form 13'!K77</f>
        <v>213.34999999999997</v>
      </c>
      <c r="J21" s="1132">
        <f>'Form 13'!L77</f>
        <v>122.34</v>
      </c>
      <c r="K21" s="1132">
        <f>'Form 13'!M77</f>
        <v>335.68999999999994</v>
      </c>
      <c r="L21" s="1132">
        <f>'Form 13'!N77</f>
        <v>243.20000000000002</v>
      </c>
      <c r="M21" s="1132">
        <f>'Form 13'!O77</f>
        <v>215.03732003333332</v>
      </c>
      <c r="N21" s="889">
        <f>'Form 13'!P77</f>
        <v>182.7633160333333</v>
      </c>
    </row>
    <row r="22" spans="2:18" ht="15.75">
      <c r="B22" s="975">
        <v>10</v>
      </c>
      <c r="C22" s="521" t="s">
        <v>691</v>
      </c>
      <c r="D22" s="343" t="e">
        <f>$D$20-D20</f>
        <v>#REF!</v>
      </c>
      <c r="E22" s="357" t="e">
        <f>$D$20-E20</f>
        <v>#REF!</v>
      </c>
      <c r="F22" s="357" t="e">
        <f>$D$20-F20</f>
        <v>#REF!</v>
      </c>
      <c r="G22" s="357" t="e">
        <f>$D$20-G20</f>
        <v>#REF!</v>
      </c>
      <c r="H22" s="2094" t="s">
        <v>1108</v>
      </c>
      <c r="I22" s="2095"/>
      <c r="J22" s="708">
        <f>$I$20-J20</f>
        <v>3.0490740135998132E-2</v>
      </c>
      <c r="K22" s="708">
        <f t="shared" ref="K22:N22" si="0">$I$20-K20</f>
        <v>1.178888065812593E-2</v>
      </c>
      <c r="L22" s="708">
        <f t="shared" si="0"/>
        <v>3.0344763795321722E-2</v>
      </c>
      <c r="M22" s="708">
        <f t="shared" si="0"/>
        <v>3.0318746006072941E-2</v>
      </c>
      <c r="N22" s="1175">
        <f t="shared" si="0"/>
        <v>3.03136915184926E-2</v>
      </c>
      <c r="P22" s="341">
        <f>9.14%-L20</f>
        <v>1.9785612850228076E-2</v>
      </c>
      <c r="Q22" s="341">
        <f>9.14%-M20</f>
        <v>1.9759595060979296E-2</v>
      </c>
      <c r="R22" s="341">
        <f>9.14%-J20</f>
        <v>1.9931589190904486E-2</v>
      </c>
    </row>
    <row r="23" spans="2:18" ht="15.75">
      <c r="B23" s="975">
        <v>11</v>
      </c>
      <c r="C23" s="521" t="s">
        <v>1103</v>
      </c>
      <c r="D23" s="343"/>
      <c r="E23" s="357"/>
      <c r="F23" s="357"/>
      <c r="G23" s="357"/>
      <c r="H23" s="2096"/>
      <c r="I23" s="2097"/>
      <c r="J23" s="1182">
        <f>J22*J19*J12/365</f>
        <v>52.194208686158149</v>
      </c>
      <c r="K23" s="1182">
        <f t="shared" ref="K23" si="1">K22*K19*K12/365</f>
        <v>0</v>
      </c>
      <c r="L23" s="1182">
        <f>L22*L19*L11/365</f>
        <v>103.04977601202225</v>
      </c>
      <c r="M23" s="1182">
        <f t="shared" ref="M23" si="2">M22*M19*M11/365</f>
        <v>91.005374599245997</v>
      </c>
      <c r="N23" s="1183">
        <f>N22*N19*N11/366</f>
        <v>77.328428451311183</v>
      </c>
      <c r="P23" s="340">
        <f>P22*L19</f>
        <v>67.191261933333351</v>
      </c>
      <c r="Q23" s="340">
        <f>Q22*M19</f>
        <v>59.310808900000048</v>
      </c>
      <c r="R23" s="340">
        <f>R22*J19</f>
        <v>74.127586647618998</v>
      </c>
    </row>
    <row r="24" spans="2:18" ht="31.5">
      <c r="B24" s="975">
        <v>12</v>
      </c>
      <c r="C24" s="523" t="s">
        <v>1106</v>
      </c>
      <c r="D24" s="524" t="e">
        <f>D22/3</f>
        <v>#REF!</v>
      </c>
      <c r="E24" s="524" t="e">
        <f>E22/3</f>
        <v>#REF!</v>
      </c>
      <c r="F24" s="524" t="e">
        <f>F22/3</f>
        <v>#REF!</v>
      </c>
      <c r="G24" s="524" t="e">
        <f>G22/3</f>
        <v>#REF!</v>
      </c>
      <c r="H24" s="2096"/>
      <c r="I24" s="2097"/>
      <c r="J24" s="524">
        <f>J22*2/3</f>
        <v>2.032716009066542E-2</v>
      </c>
      <c r="K24" s="524">
        <f t="shared" ref="K24:N24" si="3">K22*2/3</f>
        <v>7.8592537720839541E-3</v>
      </c>
      <c r="L24" s="524">
        <f t="shared" si="3"/>
        <v>2.0229842530214481E-2</v>
      </c>
      <c r="M24" s="524">
        <f t="shared" si="3"/>
        <v>2.0212497337381962E-2</v>
      </c>
      <c r="N24" s="1176">
        <f t="shared" si="3"/>
        <v>2.0209127678995065E-2</v>
      </c>
      <c r="P24" s="340">
        <f>P23*2/3</f>
        <v>44.794174622222236</v>
      </c>
      <c r="Q24" s="340">
        <f>Q23*2/3</f>
        <v>39.540539266666698</v>
      </c>
      <c r="R24" s="340">
        <f>R23*J12/365</f>
        <v>34.118998785753405</v>
      </c>
    </row>
    <row r="25" spans="2:18" ht="33" customHeight="1">
      <c r="B25" s="975">
        <v>13</v>
      </c>
      <c r="C25" s="523" t="s">
        <v>1107</v>
      </c>
      <c r="D25" s="524"/>
      <c r="E25" s="524"/>
      <c r="F25" s="524"/>
      <c r="G25" s="524"/>
      <c r="H25" s="2096"/>
      <c r="I25" s="2097"/>
      <c r="J25" s="1182">
        <f>J23*2/3</f>
        <v>34.79613912410543</v>
      </c>
      <c r="K25" s="1182">
        <f t="shared" ref="K25:N25" si="4">K23*2/3</f>
        <v>0</v>
      </c>
      <c r="L25" s="1182">
        <f t="shared" si="4"/>
        <v>68.6998506746815</v>
      </c>
      <c r="M25" s="1182">
        <f t="shared" si="4"/>
        <v>60.670249732830662</v>
      </c>
      <c r="N25" s="1183">
        <f t="shared" si="4"/>
        <v>51.552285634207458</v>
      </c>
      <c r="R25" s="340"/>
    </row>
    <row r="26" spans="2:18" ht="31.5" hidden="1">
      <c r="B26" s="975">
        <v>14</v>
      </c>
      <c r="C26" s="523" t="s">
        <v>848</v>
      </c>
      <c r="D26" s="524"/>
      <c r="E26" s="524"/>
      <c r="F26" s="524"/>
      <c r="G26" s="524"/>
      <c r="H26" s="2096"/>
      <c r="I26" s="2097"/>
      <c r="J26" s="524">
        <f>J22/3</f>
        <v>1.016358004533271E-2</v>
      </c>
      <c r="K26" s="524">
        <f t="shared" ref="K26:N26" si="5">K22/3</f>
        <v>3.9296268860419771E-3</v>
      </c>
      <c r="L26" s="524">
        <f t="shared" si="5"/>
        <v>1.0114921265107241E-2</v>
      </c>
      <c r="M26" s="524">
        <f t="shared" si="5"/>
        <v>1.0106248668690981E-2</v>
      </c>
      <c r="N26" s="1176">
        <f t="shared" si="5"/>
        <v>1.0104563839497533E-2</v>
      </c>
    </row>
    <row r="27" spans="2:18" ht="35.25" hidden="1" customHeight="1">
      <c r="B27" s="975">
        <v>15</v>
      </c>
      <c r="C27" s="523" t="s">
        <v>1104</v>
      </c>
      <c r="D27" s="524"/>
      <c r="E27" s="524"/>
      <c r="F27" s="524"/>
      <c r="G27" s="524"/>
      <c r="H27" s="2098"/>
      <c r="I27" s="2099"/>
      <c r="J27" s="1182">
        <f>J23/3</f>
        <v>17.398069562052715</v>
      </c>
      <c r="K27" s="1182">
        <f t="shared" ref="K27:N27" si="6">K23/3</f>
        <v>0</v>
      </c>
      <c r="L27" s="1182">
        <f t="shared" si="6"/>
        <v>34.34992533734075</v>
      </c>
      <c r="M27" s="1182">
        <f t="shared" si="6"/>
        <v>30.335124866415331</v>
      </c>
      <c r="N27" s="1183">
        <f t="shared" si="6"/>
        <v>25.776142817103729</v>
      </c>
    </row>
    <row r="28" spans="2:18" ht="31.5" hidden="1">
      <c r="B28" s="975">
        <v>16</v>
      </c>
      <c r="C28" s="523" t="s">
        <v>1449</v>
      </c>
      <c r="D28" s="357" t="e">
        <f>D20+D24</f>
        <v>#REF!</v>
      </c>
      <c r="E28" s="357" t="e">
        <f>E20+E24</f>
        <v>#REF!</v>
      </c>
      <c r="F28" s="357" t="e">
        <f>F20+F24</f>
        <v>#REF!</v>
      </c>
      <c r="G28" s="357" t="e">
        <f>G20+G24</f>
        <v>#REF!</v>
      </c>
      <c r="H28" s="357">
        <f>H20+H26</f>
        <v>9.5215095577299402E-2</v>
      </c>
      <c r="I28" s="357">
        <f t="shared" ref="I28:N28" si="7">I20+I26</f>
        <v>0.10195915094509365</v>
      </c>
      <c r="J28" s="357">
        <f t="shared" si="7"/>
        <v>8.1631990854428238E-2</v>
      </c>
      <c r="K28" s="357">
        <f t="shared" si="7"/>
        <v>9.4099897173009706E-2</v>
      </c>
      <c r="L28" s="357">
        <f t="shared" si="7"/>
        <v>8.1729308414879173E-2</v>
      </c>
      <c r="M28" s="357">
        <f t="shared" si="7"/>
        <v>8.1746653607711689E-2</v>
      </c>
      <c r="N28" s="855">
        <f t="shared" si="7"/>
        <v>8.1750023266098593E-2</v>
      </c>
    </row>
    <row r="29" spans="2:18" ht="31.5" customHeight="1">
      <c r="B29" s="975">
        <v>14</v>
      </c>
      <c r="C29" s="521" t="s">
        <v>1093</v>
      </c>
      <c r="D29" s="521"/>
      <c r="E29" s="521"/>
      <c r="F29" s="521"/>
      <c r="G29" s="521"/>
      <c r="H29" s="2083" t="s">
        <v>1108</v>
      </c>
      <c r="I29" s="2084"/>
      <c r="J29" s="1132">
        <v>77.842430199999995</v>
      </c>
      <c r="K29" s="235"/>
      <c r="L29" s="1132">
        <v>0</v>
      </c>
      <c r="M29" s="1132">
        <v>0</v>
      </c>
      <c r="N29" s="889">
        <v>0</v>
      </c>
    </row>
    <row r="30" spans="2:18" ht="15.75">
      <c r="B30" s="1177"/>
      <c r="C30" s="785"/>
      <c r="D30" s="785"/>
      <c r="E30" s="785"/>
      <c r="F30" s="785"/>
      <c r="G30" s="785"/>
      <c r="H30" s="1005"/>
      <c r="I30" s="1005"/>
      <c r="J30" s="1134"/>
      <c r="K30" s="1360"/>
      <c r="L30" s="1360"/>
      <c r="M30" s="1360"/>
      <c r="N30" s="1357"/>
    </row>
    <row r="31" spans="2:18" ht="15.75">
      <c r="B31" s="1177"/>
      <c r="C31" s="1360"/>
      <c r="D31" s="1360"/>
      <c r="E31" s="1360"/>
      <c r="F31" s="1360"/>
      <c r="G31" s="1360"/>
      <c r="H31" s="1360"/>
      <c r="I31" s="1360"/>
      <c r="J31" s="1360"/>
      <c r="K31" s="1360"/>
      <c r="L31" s="1360"/>
      <c r="M31" s="1360"/>
      <c r="N31" s="1357"/>
    </row>
    <row r="32" spans="2:18" ht="23.25" customHeight="1">
      <c r="B32" s="1177"/>
      <c r="C32" s="492" t="s">
        <v>690</v>
      </c>
      <c r="D32" s="343"/>
      <c r="E32" s="343"/>
      <c r="F32" s="343"/>
      <c r="G32" s="343"/>
      <c r="H32" s="492" t="s">
        <v>856</v>
      </c>
      <c r="I32" s="1761" t="s">
        <v>857</v>
      </c>
      <c r="J32" s="1761"/>
      <c r="K32" s="492"/>
      <c r="L32" s="492" t="s">
        <v>858</v>
      </c>
      <c r="M32" s="1352" t="s">
        <v>859</v>
      </c>
      <c r="N32" s="474" t="s">
        <v>860</v>
      </c>
    </row>
    <row r="33" spans="2:14" ht="31.5">
      <c r="B33" s="1177"/>
      <c r="C33" s="823" t="s">
        <v>1233</v>
      </c>
      <c r="D33" s="1375" t="s">
        <v>1232</v>
      </c>
      <c r="E33" s="1360"/>
      <c r="F33" s="1360"/>
      <c r="G33" s="1360"/>
      <c r="H33" s="1375">
        <v>0</v>
      </c>
      <c r="I33" s="2085">
        <f>-J25</f>
        <v>-34.79613912410543</v>
      </c>
      <c r="J33" s="2086"/>
      <c r="K33" s="1375">
        <f t="shared" ref="K33:N33" si="8">-K25</f>
        <v>0</v>
      </c>
      <c r="L33" s="1355">
        <f t="shared" si="8"/>
        <v>-68.6998506746815</v>
      </c>
      <c r="M33" s="1354">
        <f t="shared" si="8"/>
        <v>-60.670249732830662</v>
      </c>
      <c r="N33" s="1133">
        <f t="shared" si="8"/>
        <v>-51.552285634207458</v>
      </c>
    </row>
    <row r="34" spans="2:14" ht="31.5">
      <c r="B34" s="1177"/>
      <c r="C34" s="824" t="s">
        <v>1234</v>
      </c>
      <c r="D34" s="1354" t="s">
        <v>1232</v>
      </c>
      <c r="E34" s="1360"/>
      <c r="F34" s="1360"/>
      <c r="G34" s="1360"/>
      <c r="H34" s="1354">
        <v>0</v>
      </c>
      <c r="I34" s="1770">
        <f>J29</f>
        <v>77.842430199999995</v>
      </c>
      <c r="J34" s="1771"/>
      <c r="K34" s="1354"/>
      <c r="L34" s="402">
        <v>0</v>
      </c>
      <c r="M34" s="1354">
        <v>0</v>
      </c>
      <c r="N34" s="1133">
        <v>0</v>
      </c>
    </row>
    <row r="35" spans="2:14" ht="15.75">
      <c r="B35" s="1177"/>
      <c r="C35" s="824" t="s">
        <v>1237</v>
      </c>
      <c r="D35" s="1360"/>
      <c r="E35" s="1360"/>
      <c r="F35" s="1360"/>
      <c r="G35" s="1360"/>
      <c r="H35" s="1354">
        <f>H33+H34</f>
        <v>0</v>
      </c>
      <c r="I35" s="1770">
        <f>I33+I34</f>
        <v>43.046291075894565</v>
      </c>
      <c r="J35" s="1771">
        <f>J31</f>
        <v>0</v>
      </c>
      <c r="K35" s="1354"/>
      <c r="L35" s="402">
        <f>L33+L34</f>
        <v>-68.6998506746815</v>
      </c>
      <c r="M35" s="402">
        <f t="shared" ref="M35:N35" si="9">M33+M34</f>
        <v>-60.670249732830662</v>
      </c>
      <c r="N35" s="1133">
        <f t="shared" si="9"/>
        <v>-51.552285634207458</v>
      </c>
    </row>
    <row r="36" spans="2:14" ht="15.75">
      <c r="B36" s="1177"/>
      <c r="C36" s="1360"/>
      <c r="D36" s="1360"/>
      <c r="E36" s="1360"/>
      <c r="F36" s="1360"/>
      <c r="G36" s="1360"/>
      <c r="H36" s="1360"/>
      <c r="I36" s="1360"/>
      <c r="J36" s="1360"/>
      <c r="K36" s="1360"/>
      <c r="L36" s="1360"/>
      <c r="M36" s="1360"/>
      <c r="N36" s="1357"/>
    </row>
    <row r="37" spans="2:14" ht="15.75">
      <c r="B37" s="1177"/>
      <c r="C37" s="1360"/>
      <c r="D37" s="1360"/>
      <c r="E37" s="1360"/>
      <c r="F37" s="1360"/>
      <c r="G37" s="1360"/>
      <c r="H37" s="1360"/>
      <c r="I37" s="1360"/>
      <c r="J37" s="1360"/>
      <c r="K37" s="1360"/>
      <c r="L37" s="1360"/>
      <c r="M37" s="1360"/>
      <c r="N37" s="1357"/>
    </row>
    <row r="38" spans="2:14" ht="16.5" thickBot="1">
      <c r="B38" s="1179"/>
      <c r="C38" s="883"/>
      <c r="D38" s="883"/>
      <c r="E38" s="883"/>
      <c r="F38" s="883"/>
      <c r="G38" s="883"/>
      <c r="H38" s="883"/>
      <c r="I38" s="883"/>
      <c r="J38" s="883"/>
      <c r="K38" s="883"/>
      <c r="L38" s="883"/>
      <c r="M38" s="794" t="s">
        <v>758</v>
      </c>
      <c r="N38" s="884"/>
    </row>
  </sheetData>
  <mergeCells count="19">
    <mergeCell ref="B4:N4"/>
    <mergeCell ref="E6:N6"/>
    <mergeCell ref="E7:N7"/>
    <mergeCell ref="M8:N8"/>
    <mergeCell ref="H22:I27"/>
    <mergeCell ref="B10:B12"/>
    <mergeCell ref="C6:D6"/>
    <mergeCell ref="C7:D7"/>
    <mergeCell ref="I10:J10"/>
    <mergeCell ref="H11:H12"/>
    <mergeCell ref="L11:L12"/>
    <mergeCell ref="M11:M12"/>
    <mergeCell ref="N11:N12"/>
    <mergeCell ref="C11:C12"/>
    <mergeCell ref="I34:J34"/>
    <mergeCell ref="I35:J35"/>
    <mergeCell ref="H29:I29"/>
    <mergeCell ref="I33:J33"/>
    <mergeCell ref="I32:J32"/>
  </mergeCells>
  <pageMargins left="0.46" right="0.70866141732283505" top="0.74803149606299202" bottom="0.74803149606299202" header="0.31496062992126" footer="0.31496062992126"/>
  <pageSetup paperSize="9" scale="69" orientation="portrait" r:id="rId1"/>
</worksheet>
</file>

<file path=xl/worksheets/sheet32.xml><?xml version="1.0" encoding="utf-8"?>
<worksheet xmlns="http://schemas.openxmlformats.org/spreadsheetml/2006/main" xmlns:r="http://schemas.openxmlformats.org/officeDocument/2006/relationships">
  <sheetPr>
    <tabColor rgb="FF00B050"/>
    <outlinePr summaryBelow="0" summaryRight="0"/>
    <pageSetUpPr fitToPage="1"/>
  </sheetPr>
  <dimension ref="A1:N43"/>
  <sheetViews>
    <sheetView showGridLines="0" view="pageBreakPreview" zoomScale="91" zoomScaleSheetLayoutView="91" workbookViewId="0">
      <selection activeCell="P11" sqref="P11"/>
    </sheetView>
  </sheetViews>
  <sheetFormatPr defaultColWidth="9.33203125" defaultRowHeight="12.75"/>
  <cols>
    <col min="1" max="1" width="6.5" style="36" customWidth="1"/>
    <col min="2" max="2" width="43" style="36" customWidth="1"/>
    <col min="3" max="3" width="9.83203125" style="36" customWidth="1"/>
    <col min="4" max="4" width="22.33203125" style="36" customWidth="1"/>
    <col min="5" max="5" width="10.6640625" style="36" customWidth="1"/>
    <col min="6" max="6" width="22.6640625" style="36" customWidth="1"/>
    <col min="7" max="7" width="10.6640625" style="36" customWidth="1"/>
    <col min="8" max="8" width="21.6640625" style="36" customWidth="1"/>
    <col min="9" max="9" width="14.83203125" style="36" customWidth="1"/>
    <col min="10" max="10" width="22.33203125" style="36" hidden="1" customWidth="1"/>
    <col min="11" max="11" width="14.33203125" style="36" hidden="1" customWidth="1"/>
    <col min="12" max="12" width="14.5" style="36" hidden="1" customWidth="1"/>
    <col min="13" max="13" width="15.6640625" style="36" hidden="1" customWidth="1"/>
    <col min="14" max="14" width="14.6640625" style="36" hidden="1" customWidth="1"/>
    <col min="15" max="16384" width="9.33203125" style="36"/>
  </cols>
  <sheetData>
    <row r="1" spans="1:14">
      <c r="I1" s="37" t="s">
        <v>291</v>
      </c>
    </row>
    <row r="2" spans="1:14">
      <c r="I2" s="37" t="s">
        <v>292</v>
      </c>
    </row>
    <row r="3" spans="1:14" s="38" customFormat="1" ht="15.75">
      <c r="A3" s="2102" t="s">
        <v>293</v>
      </c>
      <c r="B3" s="2102"/>
      <c r="C3" s="2102"/>
      <c r="D3" s="2102"/>
      <c r="E3" s="2102"/>
      <c r="F3" s="2102"/>
      <c r="G3" s="2102"/>
      <c r="H3" s="2102"/>
      <c r="I3" s="2102"/>
    </row>
    <row r="4" spans="1:14" s="38" customFormat="1" ht="13.5">
      <c r="I4" s="38" t="s">
        <v>294</v>
      </c>
    </row>
    <row r="5" spans="1:14" s="39" customFormat="1" ht="13.5">
      <c r="A5" s="39" t="s">
        <v>295</v>
      </c>
      <c r="C5" s="39" t="e">
        <f>'Form15 OIL'!C5</f>
        <v>#REF!</v>
      </c>
    </row>
    <row r="6" spans="1:14" s="39" customFormat="1" ht="13.5">
      <c r="A6" s="39" t="s">
        <v>296</v>
      </c>
      <c r="C6" s="40" t="e">
        <f>'Form15 OIL'!C6</f>
        <v>#REF!</v>
      </c>
    </row>
    <row r="7" spans="1:14" ht="13.5" thickBot="1"/>
    <row r="8" spans="1:14" s="42" customFormat="1" ht="16.7" customHeight="1">
      <c r="A8" s="2103" t="s">
        <v>297</v>
      </c>
      <c r="B8" s="2105" t="s">
        <v>298</v>
      </c>
      <c r="C8" s="41"/>
      <c r="D8" s="2108"/>
      <c r="E8" s="2109"/>
      <c r="F8" s="2108"/>
      <c r="G8" s="2109"/>
      <c r="H8" s="2108"/>
      <c r="I8" s="2109"/>
    </row>
    <row r="9" spans="1:14" s="42" customFormat="1" ht="35.25" customHeight="1">
      <c r="A9" s="2104"/>
      <c r="B9" s="2106"/>
      <c r="C9" s="43"/>
      <c r="D9" s="2110" t="s">
        <v>299</v>
      </c>
      <c r="E9" s="2111"/>
      <c r="F9" s="2112" t="s">
        <v>300</v>
      </c>
      <c r="G9" s="2112"/>
      <c r="H9" s="2112" t="s">
        <v>301</v>
      </c>
      <c r="I9" s="2113"/>
    </row>
    <row r="10" spans="1:14" s="42" customFormat="1" ht="33" customHeight="1" thickBot="1">
      <c r="A10" s="44"/>
      <c r="B10" s="2107"/>
      <c r="C10" s="45"/>
      <c r="D10" s="46" t="s">
        <v>302</v>
      </c>
      <c r="E10" s="47" t="s">
        <v>303</v>
      </c>
      <c r="F10" s="47" t="s">
        <v>304</v>
      </c>
      <c r="G10" s="47" t="s">
        <v>305</v>
      </c>
      <c r="H10" s="47" t="s">
        <v>306</v>
      </c>
      <c r="I10" s="48" t="s">
        <v>307</v>
      </c>
    </row>
    <row r="11" spans="1:14" s="42" customFormat="1" ht="39" customHeight="1">
      <c r="A11" s="49">
        <v>1</v>
      </c>
      <c r="B11" s="50" t="s">
        <v>308</v>
      </c>
      <c r="C11" s="51" t="s">
        <v>309</v>
      </c>
      <c r="D11" s="52">
        <v>0.168310531690157</v>
      </c>
      <c r="E11" s="53" t="s">
        <v>310</v>
      </c>
      <c r="F11" s="52">
        <f>D11</f>
        <v>0.168310531690157</v>
      </c>
      <c r="G11" s="53" t="s">
        <v>310</v>
      </c>
      <c r="H11" s="52">
        <f>F11</f>
        <v>0.168310531690157</v>
      </c>
      <c r="I11" s="54" t="s">
        <v>310</v>
      </c>
      <c r="J11" s="42">
        <v>281354.53000000003</v>
      </c>
      <c r="K11" s="42">
        <v>333382.64</v>
      </c>
      <c r="L11" s="42">
        <v>357319.28</v>
      </c>
      <c r="M11" s="55" t="s">
        <v>311</v>
      </c>
      <c r="N11" s="55">
        <f>[9]Form13B!F14/12</f>
        <v>269.75325000000004</v>
      </c>
    </row>
    <row r="12" spans="1:14" s="42" customFormat="1" ht="40.5" customHeight="1">
      <c r="A12" s="56">
        <v>2</v>
      </c>
      <c r="B12" s="57" t="s">
        <v>312</v>
      </c>
      <c r="C12" s="58" t="s">
        <v>309</v>
      </c>
      <c r="D12" s="59">
        <v>0</v>
      </c>
      <c r="E12" s="60" t="s">
        <v>310</v>
      </c>
      <c r="F12" s="59">
        <v>0</v>
      </c>
      <c r="G12" s="60" t="s">
        <v>310</v>
      </c>
      <c r="H12" s="59">
        <v>0</v>
      </c>
      <c r="I12" s="61" t="s">
        <v>310</v>
      </c>
      <c r="M12" s="55" t="s">
        <v>313</v>
      </c>
      <c r="N12" s="62">
        <f>[9]Form3!D17</f>
        <v>2339.784576601352</v>
      </c>
    </row>
    <row r="13" spans="1:14" s="42" customFormat="1" ht="45" customHeight="1">
      <c r="A13" s="56">
        <v>3</v>
      </c>
      <c r="B13" s="57" t="s">
        <v>314</v>
      </c>
      <c r="C13" s="58" t="s">
        <v>309</v>
      </c>
      <c r="D13" s="59">
        <f>D11+D12</f>
        <v>0.168310531690157</v>
      </c>
      <c r="E13" s="60" t="s">
        <v>310</v>
      </c>
      <c r="F13" s="59">
        <f>F11+F12</f>
        <v>0.168310531690157</v>
      </c>
      <c r="G13" s="60" t="s">
        <v>310</v>
      </c>
      <c r="H13" s="59">
        <f>H11+H12</f>
        <v>0.168310531690157</v>
      </c>
      <c r="I13" s="61" t="s">
        <v>310</v>
      </c>
      <c r="M13" s="55" t="s">
        <v>315</v>
      </c>
      <c r="N13" s="55">
        <v>3750</v>
      </c>
    </row>
    <row r="14" spans="1:14" s="42" customFormat="1" ht="51" customHeight="1">
      <c r="A14" s="56">
        <v>4</v>
      </c>
      <c r="B14" s="57" t="s">
        <v>316</v>
      </c>
      <c r="C14" s="58" t="s">
        <v>309</v>
      </c>
      <c r="D14" s="59">
        <f>D13*0.8%</f>
        <v>1.3464842535212561E-3</v>
      </c>
      <c r="E14" s="60" t="s">
        <v>310</v>
      </c>
      <c r="F14" s="59">
        <f>F13*0.8%</f>
        <v>1.3464842535212561E-3</v>
      </c>
      <c r="G14" s="60" t="s">
        <v>310</v>
      </c>
      <c r="H14" s="59">
        <f>H13*0.8%</f>
        <v>1.3464842535212561E-3</v>
      </c>
      <c r="I14" s="61" t="s">
        <v>310</v>
      </c>
      <c r="M14" s="55" t="s">
        <v>317</v>
      </c>
      <c r="N14" s="63">
        <f>N12/N13</f>
        <v>0.62394255376036056</v>
      </c>
    </row>
    <row r="15" spans="1:14" s="42" customFormat="1" ht="28.5" customHeight="1">
      <c r="A15" s="56">
        <v>5</v>
      </c>
      <c r="B15" s="57" t="s">
        <v>318</v>
      </c>
      <c r="C15" s="58" t="s">
        <v>309</v>
      </c>
      <c r="D15" s="59">
        <f>D13-D14</f>
        <v>0.16696404743663573</v>
      </c>
      <c r="E15" s="60" t="s">
        <v>310</v>
      </c>
      <c r="F15" s="59">
        <f>F13-F14</f>
        <v>0.16696404743663573</v>
      </c>
      <c r="G15" s="60" t="s">
        <v>310</v>
      </c>
      <c r="H15" s="59">
        <f>H13-H14</f>
        <v>0.16696404743663573</v>
      </c>
      <c r="I15" s="61" t="s">
        <v>310</v>
      </c>
      <c r="N15" s="42">
        <f>N11*N14/1000</f>
        <v>0.168310531690157</v>
      </c>
    </row>
    <row r="16" spans="1:14" s="42" customFormat="1" ht="30" customHeight="1">
      <c r="A16" s="56">
        <v>6</v>
      </c>
      <c r="B16" s="57" t="s">
        <v>319</v>
      </c>
      <c r="C16" s="58" t="s">
        <v>320</v>
      </c>
      <c r="D16" s="64">
        <f>D11*2700*10^6</f>
        <v>454438435.56342393</v>
      </c>
      <c r="E16" s="60" t="s">
        <v>310</v>
      </c>
      <c r="F16" s="64">
        <f>F11*2700*10^6</f>
        <v>454438435.56342393</v>
      </c>
      <c r="G16" s="60" t="s">
        <v>310</v>
      </c>
      <c r="H16" s="64">
        <f>H11*2700*10^6</f>
        <v>454438435.56342393</v>
      </c>
      <c r="I16" s="61" t="s">
        <v>310</v>
      </c>
      <c r="J16" s="42">
        <v>659846573</v>
      </c>
      <c r="K16" s="42">
        <v>713493195</v>
      </c>
      <c r="L16" s="42">
        <v>732522082</v>
      </c>
    </row>
    <row r="17" spans="1:14" s="42" customFormat="1" ht="42.75" customHeight="1">
      <c r="A17" s="56">
        <v>7</v>
      </c>
      <c r="B17" s="57" t="s">
        <v>321</v>
      </c>
      <c r="C17" s="58" t="s">
        <v>320</v>
      </c>
      <c r="D17" s="64">
        <v>0</v>
      </c>
      <c r="E17" s="60" t="s">
        <v>310</v>
      </c>
      <c r="F17" s="64">
        <v>0</v>
      </c>
      <c r="G17" s="60" t="s">
        <v>310</v>
      </c>
      <c r="H17" s="64">
        <v>0</v>
      </c>
      <c r="I17" s="61" t="s">
        <v>310</v>
      </c>
      <c r="J17" s="42">
        <v>50000000</v>
      </c>
      <c r="K17" s="42">
        <v>105510482</v>
      </c>
      <c r="L17" s="42">
        <v>100000000</v>
      </c>
      <c r="N17" s="42">
        <v>600</v>
      </c>
    </row>
    <row r="18" spans="1:14" s="42" customFormat="1" ht="30.75" customHeight="1">
      <c r="A18" s="65">
        <v>8</v>
      </c>
      <c r="B18" s="66" t="s">
        <v>322</v>
      </c>
      <c r="C18" s="67" t="s">
        <v>320</v>
      </c>
      <c r="D18" s="68">
        <f>D16+D17</f>
        <v>454438435.56342393</v>
      </c>
      <c r="E18" s="69" t="s">
        <v>310</v>
      </c>
      <c r="F18" s="68">
        <f>F16+F17</f>
        <v>454438435.56342393</v>
      </c>
      <c r="G18" s="69" t="s">
        <v>310</v>
      </c>
      <c r="H18" s="68">
        <f>H16+H17</f>
        <v>454438435.56342393</v>
      </c>
      <c r="I18" s="70" t="s">
        <v>310</v>
      </c>
      <c r="N18" s="42">
        <v>2700</v>
      </c>
    </row>
    <row r="19" spans="1:14" ht="30.75" customHeight="1">
      <c r="A19" s="56">
        <v>9</v>
      </c>
      <c r="B19" s="57" t="s">
        <v>323</v>
      </c>
      <c r="C19" s="58" t="s">
        <v>324</v>
      </c>
      <c r="D19" s="64">
        <f>D11*600*10^6</f>
        <v>100986319.0140942</v>
      </c>
      <c r="E19" s="60" t="s">
        <v>310</v>
      </c>
      <c r="F19" s="64">
        <f>F11*600*10^6</f>
        <v>100986319.0140942</v>
      </c>
      <c r="G19" s="60" t="s">
        <v>310</v>
      </c>
      <c r="H19" s="64">
        <f>H11*600*10^6</f>
        <v>100986319.0140942</v>
      </c>
      <c r="I19" s="61" t="s">
        <v>310</v>
      </c>
      <c r="J19" s="36">
        <v>42960280</v>
      </c>
      <c r="K19" s="36">
        <v>52669974</v>
      </c>
      <c r="L19" s="36">
        <v>61477568</v>
      </c>
    </row>
    <row r="20" spans="1:14" ht="42.75">
      <c r="A20" s="56">
        <v>10</v>
      </c>
      <c r="B20" s="57" t="s">
        <v>325</v>
      </c>
      <c r="C20" s="58" t="s">
        <v>324</v>
      </c>
      <c r="D20" s="64">
        <v>0</v>
      </c>
      <c r="E20" s="60" t="s">
        <v>310</v>
      </c>
      <c r="F20" s="64">
        <v>0</v>
      </c>
      <c r="G20" s="60" t="s">
        <v>310</v>
      </c>
      <c r="H20" s="64">
        <v>0</v>
      </c>
      <c r="I20" s="61" t="s">
        <v>310</v>
      </c>
    </row>
    <row r="21" spans="1:14" ht="19.5" customHeight="1">
      <c r="A21" s="56">
        <v>11</v>
      </c>
      <c r="B21" s="57" t="s">
        <v>326</v>
      </c>
      <c r="C21" s="58" t="s">
        <v>324</v>
      </c>
      <c r="D21" s="64">
        <v>0</v>
      </c>
      <c r="E21" s="60" t="s">
        <v>310</v>
      </c>
      <c r="F21" s="64">
        <v>0</v>
      </c>
      <c r="G21" s="60" t="s">
        <v>310</v>
      </c>
      <c r="H21" s="64">
        <v>0</v>
      </c>
      <c r="I21" s="61" t="s">
        <v>310</v>
      </c>
    </row>
    <row r="22" spans="1:14" ht="28.5">
      <c r="A22" s="56">
        <v>12</v>
      </c>
      <c r="B22" s="57" t="s">
        <v>327</v>
      </c>
      <c r="C22" s="58" t="s">
        <v>324</v>
      </c>
      <c r="D22" s="64">
        <v>0</v>
      </c>
      <c r="E22" s="60" t="s">
        <v>310</v>
      </c>
      <c r="F22" s="64">
        <v>0</v>
      </c>
      <c r="G22" s="60" t="s">
        <v>310</v>
      </c>
      <c r="H22" s="64">
        <v>0</v>
      </c>
      <c r="I22" s="61" t="s">
        <v>310</v>
      </c>
    </row>
    <row r="23" spans="1:14" ht="30">
      <c r="A23" s="65">
        <v>13</v>
      </c>
      <c r="B23" s="71" t="s">
        <v>328</v>
      </c>
      <c r="C23" s="67" t="s">
        <v>324</v>
      </c>
      <c r="D23" s="68">
        <f>D19+D20-D21+D22</f>
        <v>100986319.0140942</v>
      </c>
      <c r="E23" s="69" t="s">
        <v>310</v>
      </c>
      <c r="F23" s="68">
        <f>F19+F20-F21+F22</f>
        <v>100986319.0140942</v>
      </c>
      <c r="G23" s="69" t="s">
        <v>310</v>
      </c>
      <c r="H23" s="68">
        <f>H19+H20-H21+H22</f>
        <v>100986319.0140942</v>
      </c>
      <c r="I23" s="70" t="s">
        <v>310</v>
      </c>
    </row>
    <row r="24" spans="1:14" ht="45">
      <c r="A24" s="65">
        <v>14</v>
      </c>
      <c r="B24" s="71" t="s">
        <v>329</v>
      </c>
      <c r="C24" s="67" t="s">
        <v>324</v>
      </c>
      <c r="D24" s="68">
        <f>D18+D23</f>
        <v>555424754.57751811</v>
      </c>
      <c r="E24" s="69" t="s">
        <v>310</v>
      </c>
      <c r="F24" s="68">
        <f>F18+F23</f>
        <v>555424754.57751811</v>
      </c>
      <c r="G24" s="69" t="s">
        <v>310</v>
      </c>
      <c r="H24" s="68">
        <f>H18+H23</f>
        <v>555424754.57751811</v>
      </c>
      <c r="I24" s="70" t="s">
        <v>310</v>
      </c>
    </row>
    <row r="25" spans="1:14" ht="15">
      <c r="A25" s="56">
        <v>15</v>
      </c>
      <c r="B25" s="57" t="s">
        <v>330</v>
      </c>
      <c r="C25" s="58" t="s">
        <v>331</v>
      </c>
      <c r="D25" s="72">
        <f>D24/(D15*10^6)</f>
        <v>3326.6129032258068</v>
      </c>
      <c r="E25" s="60" t="s">
        <v>310</v>
      </c>
      <c r="F25" s="72">
        <f>F24/(F15*10^6)</f>
        <v>3326.6129032258068</v>
      </c>
      <c r="G25" s="60" t="s">
        <v>310</v>
      </c>
      <c r="H25" s="72">
        <f>H24/(H15*10^6)</f>
        <v>3326.6129032258068</v>
      </c>
      <c r="I25" s="61" t="s">
        <v>310</v>
      </c>
    </row>
    <row r="26" spans="1:14" ht="15">
      <c r="A26" s="56">
        <v>16</v>
      </c>
      <c r="B26" s="57" t="s">
        <v>332</v>
      </c>
      <c r="C26" s="73"/>
      <c r="D26" s="60" t="s">
        <v>310</v>
      </c>
      <c r="E26" s="60" t="s">
        <v>310</v>
      </c>
      <c r="F26" s="60" t="s">
        <v>310</v>
      </c>
      <c r="G26" s="60" t="s">
        <v>310</v>
      </c>
      <c r="H26" s="60" t="s">
        <v>310</v>
      </c>
      <c r="I26" s="61" t="s">
        <v>310</v>
      </c>
    </row>
    <row r="27" spans="1:14" ht="38.25">
      <c r="A27" s="56">
        <v>17</v>
      </c>
      <c r="B27" s="57" t="s">
        <v>333</v>
      </c>
      <c r="C27" s="58" t="s">
        <v>334</v>
      </c>
      <c r="D27" s="74">
        <f>D24/(D15*10^6)</f>
        <v>3326.6129032258068</v>
      </c>
      <c r="E27" s="60" t="s">
        <v>310</v>
      </c>
      <c r="F27" s="74">
        <f>F24/(F15*10^6)</f>
        <v>3326.6129032258068</v>
      </c>
      <c r="G27" s="60" t="s">
        <v>310</v>
      </c>
      <c r="H27" s="74">
        <f>H24/(H15*10^6)</f>
        <v>3326.6129032258068</v>
      </c>
      <c r="I27" s="61" t="s">
        <v>310</v>
      </c>
      <c r="J27" s="75">
        <f>((D27*D15)+(F27*F15)+(H27*H15))/(D15+F15+H15)</f>
        <v>3326.6129032258068</v>
      </c>
    </row>
    <row r="28" spans="1:14" ht="28.5">
      <c r="A28" s="56">
        <v>18</v>
      </c>
      <c r="B28" s="57" t="s">
        <v>335</v>
      </c>
      <c r="C28" s="58" t="s">
        <v>336</v>
      </c>
      <c r="D28" s="60" t="s">
        <v>310</v>
      </c>
      <c r="E28" s="60" t="s">
        <v>310</v>
      </c>
      <c r="F28" s="60" t="s">
        <v>310</v>
      </c>
      <c r="G28" s="60" t="s">
        <v>310</v>
      </c>
      <c r="H28" s="60" t="s">
        <v>310</v>
      </c>
      <c r="I28" s="61" t="s">
        <v>310</v>
      </c>
    </row>
    <row r="29" spans="1:14" ht="28.5">
      <c r="A29" s="56">
        <v>19</v>
      </c>
      <c r="B29" s="57" t="s">
        <v>337</v>
      </c>
      <c r="C29" s="58" t="s">
        <v>336</v>
      </c>
      <c r="D29" s="60" t="s">
        <v>310</v>
      </c>
      <c r="E29" s="60" t="s">
        <v>310</v>
      </c>
      <c r="F29" s="60" t="s">
        <v>310</v>
      </c>
      <c r="G29" s="60" t="s">
        <v>310</v>
      </c>
      <c r="H29" s="60" t="s">
        <v>310</v>
      </c>
      <c r="I29" s="61" t="s">
        <v>310</v>
      </c>
      <c r="K29" s="76">
        <f>(K27*K25+L28*L25)/100</f>
        <v>0</v>
      </c>
    </row>
    <row r="30" spans="1:14" ht="28.5">
      <c r="A30" s="56">
        <v>20</v>
      </c>
      <c r="B30" s="57" t="s">
        <v>338</v>
      </c>
      <c r="C30" s="58" t="s">
        <v>336</v>
      </c>
      <c r="D30" s="60" t="s">
        <v>310</v>
      </c>
      <c r="E30" s="60" t="s">
        <v>310</v>
      </c>
      <c r="F30" s="60" t="s">
        <v>310</v>
      </c>
      <c r="G30" s="60" t="s">
        <v>310</v>
      </c>
      <c r="H30" s="60" t="s">
        <v>310</v>
      </c>
      <c r="I30" s="61" t="s">
        <v>310</v>
      </c>
    </row>
    <row r="31" spans="1:14" ht="28.5">
      <c r="A31" s="56">
        <v>21</v>
      </c>
      <c r="B31" s="77" t="s">
        <v>339</v>
      </c>
      <c r="C31" s="58" t="s">
        <v>336</v>
      </c>
      <c r="D31" s="68">
        <v>3750</v>
      </c>
      <c r="E31" s="60" t="s">
        <v>310</v>
      </c>
      <c r="F31" s="68">
        <v>3750</v>
      </c>
      <c r="G31" s="60" t="s">
        <v>310</v>
      </c>
      <c r="H31" s="68">
        <v>3750</v>
      </c>
      <c r="I31" s="61" t="s">
        <v>310</v>
      </c>
    </row>
    <row r="32" spans="1:14" ht="28.5">
      <c r="A32" s="56">
        <v>22</v>
      </c>
      <c r="B32" s="77" t="s">
        <v>340</v>
      </c>
      <c r="C32" s="58" t="s">
        <v>336</v>
      </c>
      <c r="D32" s="78" t="s">
        <v>310</v>
      </c>
      <c r="E32" s="60" t="s">
        <v>310</v>
      </c>
      <c r="F32" s="78" t="s">
        <v>310</v>
      </c>
      <c r="G32" s="60" t="s">
        <v>310</v>
      </c>
      <c r="H32" s="78" t="s">
        <v>310</v>
      </c>
      <c r="I32" s="61" t="s">
        <v>310</v>
      </c>
    </row>
    <row r="33" spans="1:10" ht="29.25" thickBot="1">
      <c r="A33" s="79">
        <v>23</v>
      </c>
      <c r="B33" s="80" t="s">
        <v>341</v>
      </c>
      <c r="C33" s="81" t="s">
        <v>336</v>
      </c>
      <c r="D33" s="82">
        <f>D31</f>
        <v>3750</v>
      </c>
      <c r="E33" s="83" t="s">
        <v>310</v>
      </c>
      <c r="F33" s="82">
        <f>F31</f>
        <v>3750</v>
      </c>
      <c r="G33" s="83" t="s">
        <v>310</v>
      </c>
      <c r="H33" s="82">
        <f>H31</f>
        <v>3750</v>
      </c>
      <c r="I33" s="84" t="s">
        <v>310</v>
      </c>
      <c r="J33" s="36">
        <f>((D33*D15)+(F33*F15)+(H33*H15))/(D15+F15+H15)</f>
        <v>3749.9999999999995</v>
      </c>
    </row>
    <row r="36" spans="1:10" ht="13.5">
      <c r="A36" s="39" t="s">
        <v>342</v>
      </c>
      <c r="B36" s="39"/>
      <c r="C36" s="39"/>
      <c r="D36" s="39"/>
      <c r="E36" s="39"/>
      <c r="F36" s="39"/>
      <c r="G36" s="39"/>
      <c r="H36" s="39"/>
      <c r="I36" s="39"/>
    </row>
    <row r="37" spans="1:10" ht="15">
      <c r="A37" s="85" t="s">
        <v>343</v>
      </c>
      <c r="B37" s="85"/>
      <c r="C37" s="86"/>
      <c r="D37" s="86"/>
      <c r="E37" s="86"/>
      <c r="F37" s="86"/>
      <c r="G37" s="86"/>
      <c r="H37" s="86"/>
      <c r="I37" s="86"/>
    </row>
    <row r="38" spans="1:10" ht="15">
      <c r="A38" s="87" t="s">
        <v>344</v>
      </c>
      <c r="B38" s="88"/>
      <c r="C38" s="89"/>
      <c r="D38" s="89"/>
      <c r="E38" s="89"/>
      <c r="F38" s="89"/>
      <c r="G38" s="89"/>
      <c r="H38" s="89"/>
      <c r="I38" s="89"/>
    </row>
    <row r="39" spans="1:10" ht="15">
      <c r="A39" s="85" t="s">
        <v>345</v>
      </c>
      <c r="B39" s="85"/>
      <c r="C39" s="86"/>
      <c r="D39" s="86"/>
      <c r="E39" s="86"/>
      <c r="F39" s="86"/>
      <c r="G39" s="86"/>
      <c r="H39" s="86"/>
      <c r="I39" s="86"/>
    </row>
    <row r="40" spans="1:10" ht="15">
      <c r="A40" s="87"/>
      <c r="B40" s="87"/>
      <c r="C40" s="89"/>
      <c r="D40" s="89"/>
      <c r="E40" s="89"/>
      <c r="F40" s="89"/>
      <c r="G40" s="89"/>
      <c r="H40" s="89"/>
      <c r="I40" s="89"/>
    </row>
    <row r="41" spans="1:10" ht="15">
      <c r="A41" s="88" t="s">
        <v>346</v>
      </c>
      <c r="B41" s="88"/>
    </row>
    <row r="43" spans="1:10">
      <c r="I43" s="90" t="s">
        <v>289</v>
      </c>
    </row>
  </sheetData>
  <mergeCells count="9">
    <mergeCell ref="A3:I3"/>
    <mergeCell ref="A8:A9"/>
    <mergeCell ref="B8:B10"/>
    <mergeCell ref="D8:E8"/>
    <mergeCell ref="F8:G8"/>
    <mergeCell ref="H8:I8"/>
    <mergeCell ref="D9:E9"/>
    <mergeCell ref="F9:G9"/>
    <mergeCell ref="H9:I9"/>
  </mergeCells>
  <printOptions horizontalCentered="1"/>
  <pageMargins left="0.75" right="0.5" top="1.52291666666667" bottom="1" header="1.1527777777777799" footer="0"/>
  <pageSetup scale="57" orientation="portrait" r:id="rId1"/>
  <headerFooter alignWithMargins="0"/>
</worksheet>
</file>

<file path=xl/worksheets/sheet33.xml><?xml version="1.0" encoding="utf-8"?>
<worksheet xmlns="http://schemas.openxmlformats.org/spreadsheetml/2006/main" xmlns:r="http://schemas.openxmlformats.org/officeDocument/2006/relationships">
  <sheetPr>
    <tabColor rgb="FF00B050"/>
    <outlinePr summaryBelow="0" summaryRight="0"/>
    <pageSetUpPr fitToPage="1"/>
  </sheetPr>
  <dimension ref="A1:M49"/>
  <sheetViews>
    <sheetView showGridLines="0" view="pageBreakPreview" zoomScale="80" zoomScaleNormal="70" zoomScaleSheetLayoutView="80" workbookViewId="0">
      <selection activeCell="T10" sqref="T10"/>
    </sheetView>
  </sheetViews>
  <sheetFormatPr defaultColWidth="9.33203125" defaultRowHeight="15.75"/>
  <cols>
    <col min="1" max="1" width="6.5" style="91" customWidth="1"/>
    <col min="2" max="2" width="43" style="91" customWidth="1"/>
    <col min="3" max="3" width="12.5" style="91" customWidth="1"/>
    <col min="4" max="4" width="22.33203125" style="91" customWidth="1"/>
    <col min="5" max="5" width="12" style="91" customWidth="1"/>
    <col min="6" max="6" width="22.6640625" style="91" customWidth="1"/>
    <col min="7" max="7" width="10.6640625" style="91" customWidth="1"/>
    <col min="8" max="8" width="27.83203125" style="91" customWidth="1"/>
    <col min="9" max="9" width="14.83203125" style="91" customWidth="1"/>
    <col min="10" max="10" width="17.1640625" style="91" hidden="1" customWidth="1"/>
    <col min="11" max="11" width="19.33203125" style="91" hidden="1" customWidth="1"/>
    <col min="12" max="12" width="17.5" style="91" hidden="1" customWidth="1"/>
    <col min="13" max="16384" width="9.33203125" style="91"/>
  </cols>
  <sheetData>
    <row r="1" spans="1:13">
      <c r="A1" s="91" t="s">
        <v>266</v>
      </c>
      <c r="I1" s="92" t="s">
        <v>291</v>
      </c>
    </row>
    <row r="2" spans="1:13">
      <c r="I2" s="92" t="s">
        <v>292</v>
      </c>
    </row>
    <row r="3" spans="1:13" s="93" customFormat="1" ht="18.75">
      <c r="A3" s="2115" t="s">
        <v>347</v>
      </c>
      <c r="B3" s="2115"/>
      <c r="C3" s="2115"/>
      <c r="D3" s="2115"/>
      <c r="E3" s="2115"/>
      <c r="F3" s="2115"/>
      <c r="G3" s="2115"/>
      <c r="H3" s="2115"/>
      <c r="I3" s="2115"/>
    </row>
    <row r="4" spans="1:13" s="93" customFormat="1"/>
    <row r="5" spans="1:13" s="94" customFormat="1">
      <c r="A5" s="94" t="s">
        <v>295</v>
      </c>
      <c r="C5" s="94" t="e">
        <f>#REF!</f>
        <v>#REF!</v>
      </c>
      <c r="I5" s="94" t="s">
        <v>348</v>
      </c>
    </row>
    <row r="6" spans="1:13" s="94" customFormat="1">
      <c r="A6" s="94" t="s">
        <v>296</v>
      </c>
      <c r="C6" s="95" t="e">
        <f>#REF!</f>
        <v>#REF!</v>
      </c>
    </row>
    <row r="7" spans="1:13" ht="16.5" thickBot="1"/>
    <row r="8" spans="1:13" s="97" customFormat="1" ht="16.7" customHeight="1">
      <c r="A8" s="2116" t="s">
        <v>349</v>
      </c>
      <c r="B8" s="2118" t="s">
        <v>298</v>
      </c>
      <c r="C8" s="96" t="s">
        <v>350</v>
      </c>
      <c r="D8" s="2120" t="s">
        <v>351</v>
      </c>
      <c r="E8" s="2120"/>
      <c r="F8" s="2120" t="s">
        <v>351</v>
      </c>
      <c r="G8" s="2120"/>
      <c r="H8" s="2120" t="s">
        <v>351</v>
      </c>
      <c r="I8" s="2121"/>
    </row>
    <row r="9" spans="1:13" s="97" customFormat="1" ht="33.75" customHeight="1">
      <c r="A9" s="2117"/>
      <c r="B9" s="2119"/>
      <c r="C9" s="98"/>
      <c r="D9" s="2122" t="s">
        <v>299</v>
      </c>
      <c r="E9" s="2122"/>
      <c r="F9" s="2123" t="s">
        <v>300</v>
      </c>
      <c r="G9" s="2123"/>
      <c r="H9" s="2123" t="s">
        <v>301</v>
      </c>
      <c r="I9" s="2124"/>
      <c r="M9" s="97" t="s">
        <v>344</v>
      </c>
    </row>
    <row r="10" spans="1:13" s="97" customFormat="1" ht="33" customHeight="1">
      <c r="A10" s="99"/>
      <c r="B10" s="2119"/>
      <c r="C10" s="98"/>
      <c r="D10" s="100" t="s">
        <v>306</v>
      </c>
      <c r="E10" s="101" t="s">
        <v>307</v>
      </c>
      <c r="F10" s="101" t="s">
        <v>306</v>
      </c>
      <c r="G10" s="101" t="s">
        <v>307</v>
      </c>
      <c r="H10" s="101" t="s">
        <v>306</v>
      </c>
      <c r="I10" s="102" t="s">
        <v>307</v>
      </c>
    </row>
    <row r="11" spans="1:13" s="97" customFormat="1" ht="39" customHeight="1">
      <c r="A11" s="103">
        <v>1</v>
      </c>
      <c r="B11" s="104" t="s">
        <v>352</v>
      </c>
      <c r="C11" s="105" t="s">
        <v>353</v>
      </c>
      <c r="D11" s="59">
        <v>342.19499999999999</v>
      </c>
      <c r="E11" s="60" t="s">
        <v>310</v>
      </c>
      <c r="F11" s="59">
        <v>682.77700000000004</v>
      </c>
      <c r="G11" s="60" t="s">
        <v>310</v>
      </c>
      <c r="H11" s="59">
        <v>337.91500000000002</v>
      </c>
      <c r="I11" s="60" t="s">
        <v>310</v>
      </c>
      <c r="J11" s="106">
        <v>547.71500000000003</v>
      </c>
      <c r="K11" s="107">
        <v>283.685</v>
      </c>
      <c r="L11" s="107">
        <v>414.40100000000001</v>
      </c>
    </row>
    <row r="12" spans="1:13" s="97" customFormat="1" ht="40.5" customHeight="1">
      <c r="A12" s="103">
        <v>2</v>
      </c>
      <c r="B12" s="108" t="s">
        <v>354</v>
      </c>
      <c r="C12" s="105" t="s">
        <v>353</v>
      </c>
      <c r="D12" s="59">
        <v>0</v>
      </c>
      <c r="E12" s="60" t="s">
        <v>310</v>
      </c>
      <c r="F12" s="59">
        <v>0</v>
      </c>
      <c r="G12" s="60" t="s">
        <v>310</v>
      </c>
      <c r="H12" s="59">
        <v>0</v>
      </c>
      <c r="I12" s="60" t="s">
        <v>310</v>
      </c>
    </row>
    <row r="13" spans="1:13" s="97" customFormat="1" ht="21" customHeight="1">
      <c r="A13" s="103">
        <v>3</v>
      </c>
      <c r="B13" s="108" t="s">
        <v>355</v>
      </c>
      <c r="C13" s="105" t="s">
        <v>353</v>
      </c>
      <c r="D13" s="59">
        <f>D11+D12</f>
        <v>342.19499999999999</v>
      </c>
      <c r="E13" s="60" t="s">
        <v>310</v>
      </c>
      <c r="F13" s="59">
        <f>F11+F12</f>
        <v>682.77700000000004</v>
      </c>
      <c r="G13" s="60" t="s">
        <v>310</v>
      </c>
      <c r="H13" s="59">
        <f>H11+H12</f>
        <v>337.91500000000002</v>
      </c>
      <c r="I13" s="60" t="s">
        <v>310</v>
      </c>
    </row>
    <row r="14" spans="1:13" s="97" customFormat="1" ht="31.5" customHeight="1">
      <c r="A14" s="103">
        <v>4</v>
      </c>
      <c r="B14" s="108" t="s">
        <v>316</v>
      </c>
      <c r="C14" s="105" t="s">
        <v>353</v>
      </c>
      <c r="D14" s="60" t="s">
        <v>310</v>
      </c>
      <c r="E14" s="60" t="s">
        <v>310</v>
      </c>
      <c r="F14" s="60" t="s">
        <v>310</v>
      </c>
      <c r="G14" s="60" t="s">
        <v>310</v>
      </c>
      <c r="H14" s="60" t="s">
        <v>310</v>
      </c>
      <c r="I14" s="60" t="s">
        <v>310</v>
      </c>
    </row>
    <row r="15" spans="1:13" s="97" customFormat="1" ht="28.5" customHeight="1">
      <c r="A15" s="103">
        <v>5</v>
      </c>
      <c r="B15" s="108" t="s">
        <v>356</v>
      </c>
      <c r="C15" s="105" t="s">
        <v>353</v>
      </c>
      <c r="D15" s="59">
        <f>D13</f>
        <v>342.19499999999999</v>
      </c>
      <c r="E15" s="60" t="s">
        <v>310</v>
      </c>
      <c r="F15" s="59">
        <f>F13</f>
        <v>682.77700000000004</v>
      </c>
      <c r="G15" s="60" t="s">
        <v>310</v>
      </c>
      <c r="H15" s="59">
        <f>H13</f>
        <v>337.91500000000002</v>
      </c>
      <c r="I15" s="60" t="s">
        <v>310</v>
      </c>
    </row>
    <row r="16" spans="1:13" s="97" customFormat="1" ht="30" customHeight="1">
      <c r="A16" s="103">
        <v>6</v>
      </c>
      <c r="B16" s="108" t="s">
        <v>357</v>
      </c>
      <c r="C16" s="105" t="s">
        <v>320</v>
      </c>
      <c r="D16" s="64">
        <v>20369212</v>
      </c>
      <c r="E16" s="60" t="s">
        <v>310</v>
      </c>
      <c r="F16" s="64">
        <v>40642411</v>
      </c>
      <c r="G16" s="60" t="s">
        <v>310</v>
      </c>
      <c r="H16" s="64">
        <v>20114444</v>
      </c>
      <c r="I16" s="60" t="s">
        <v>310</v>
      </c>
      <c r="J16" s="97">
        <v>33396970.489999998</v>
      </c>
      <c r="K16" s="97">
        <v>17297717.920000002</v>
      </c>
      <c r="L16" s="97">
        <v>25268137.57</v>
      </c>
    </row>
    <row r="17" spans="1:12" s="97" customFormat="1" ht="34.5" customHeight="1">
      <c r="A17" s="103">
        <v>7</v>
      </c>
      <c r="B17" s="108" t="s">
        <v>358</v>
      </c>
      <c r="C17" s="105" t="s">
        <v>320</v>
      </c>
      <c r="D17" s="64">
        <f>J17</f>
        <v>0</v>
      </c>
      <c r="E17" s="60" t="s">
        <v>310</v>
      </c>
      <c r="F17" s="64">
        <f>K17</f>
        <v>0</v>
      </c>
      <c r="G17" s="60" t="s">
        <v>310</v>
      </c>
      <c r="H17" s="64">
        <f>L17</f>
        <v>0</v>
      </c>
      <c r="I17" s="60" t="s">
        <v>310</v>
      </c>
    </row>
    <row r="18" spans="1:12" s="97" customFormat="1" ht="30.75" customHeight="1">
      <c r="A18" s="103">
        <v>8</v>
      </c>
      <c r="B18" s="105" t="s">
        <v>322</v>
      </c>
      <c r="C18" s="105" t="s">
        <v>320</v>
      </c>
      <c r="D18" s="68">
        <f>D16+D17</f>
        <v>20369212</v>
      </c>
      <c r="E18" s="69" t="s">
        <v>310</v>
      </c>
      <c r="F18" s="68">
        <f>F16+F17</f>
        <v>40642411</v>
      </c>
      <c r="G18" s="69" t="s">
        <v>310</v>
      </c>
      <c r="H18" s="68">
        <f>H16+H17</f>
        <v>20114444</v>
      </c>
      <c r="I18" s="69" t="s">
        <v>310</v>
      </c>
    </row>
    <row r="19" spans="1:12" ht="30.75" customHeight="1">
      <c r="A19" s="103">
        <v>9</v>
      </c>
      <c r="B19" s="108" t="s">
        <v>323</v>
      </c>
      <c r="C19" s="105" t="s">
        <v>324</v>
      </c>
      <c r="D19" s="64">
        <v>0</v>
      </c>
      <c r="E19" s="60" t="s">
        <v>310</v>
      </c>
      <c r="F19" s="64">
        <v>0</v>
      </c>
      <c r="G19" s="60" t="s">
        <v>310</v>
      </c>
      <c r="H19" s="64">
        <v>0</v>
      </c>
      <c r="I19" s="60" t="s">
        <v>310</v>
      </c>
      <c r="J19" s="91">
        <v>652860.93999999994</v>
      </c>
      <c r="K19" s="91">
        <v>338144.58</v>
      </c>
      <c r="L19" s="91">
        <v>493954.39</v>
      </c>
    </row>
    <row r="20" spans="1:12" ht="31.5">
      <c r="A20" s="103">
        <v>10</v>
      </c>
      <c r="B20" s="108" t="s">
        <v>325</v>
      </c>
      <c r="C20" s="105" t="s">
        <v>324</v>
      </c>
      <c r="D20" s="64">
        <v>0</v>
      </c>
      <c r="E20" s="60" t="s">
        <v>310</v>
      </c>
      <c r="F20" s="64">
        <v>0</v>
      </c>
      <c r="G20" s="60" t="s">
        <v>310</v>
      </c>
      <c r="H20" s="64">
        <v>0</v>
      </c>
      <c r="I20" s="60" t="s">
        <v>310</v>
      </c>
    </row>
    <row r="21" spans="1:12" ht="19.5" customHeight="1">
      <c r="A21" s="103">
        <v>11</v>
      </c>
      <c r="B21" s="108" t="s">
        <v>326</v>
      </c>
      <c r="C21" s="105" t="s">
        <v>324</v>
      </c>
      <c r="D21" s="64">
        <v>0</v>
      </c>
      <c r="E21" s="60" t="s">
        <v>310</v>
      </c>
      <c r="F21" s="64">
        <v>0</v>
      </c>
      <c r="G21" s="60" t="s">
        <v>310</v>
      </c>
      <c r="H21" s="64">
        <v>0</v>
      </c>
      <c r="I21" s="60" t="s">
        <v>310</v>
      </c>
    </row>
    <row r="22" spans="1:12" ht="31.5">
      <c r="A22" s="103">
        <v>12</v>
      </c>
      <c r="B22" s="108" t="s">
        <v>359</v>
      </c>
      <c r="C22" s="105" t="s">
        <v>324</v>
      </c>
      <c r="D22" s="64">
        <v>0</v>
      </c>
      <c r="E22" s="60" t="s">
        <v>310</v>
      </c>
      <c r="F22" s="64">
        <v>0</v>
      </c>
      <c r="G22" s="60" t="s">
        <v>310</v>
      </c>
      <c r="H22" s="64">
        <v>0</v>
      </c>
      <c r="I22" s="60" t="s">
        <v>310</v>
      </c>
      <c r="K22" s="91">
        <f>D24/D15</f>
        <v>59525.159631204435</v>
      </c>
    </row>
    <row r="23" spans="1:12" ht="31.5">
      <c r="A23" s="103">
        <v>13</v>
      </c>
      <c r="B23" s="108" t="s">
        <v>328</v>
      </c>
      <c r="C23" s="105" t="s">
        <v>324</v>
      </c>
      <c r="D23" s="68">
        <f>D19+D20-D21+D22</f>
        <v>0</v>
      </c>
      <c r="E23" s="69" t="s">
        <v>310</v>
      </c>
      <c r="F23" s="68">
        <f>F19+F20-F21+F22</f>
        <v>0</v>
      </c>
      <c r="G23" s="69" t="s">
        <v>310</v>
      </c>
      <c r="H23" s="68">
        <f>H19+H20-H21+H22</f>
        <v>0</v>
      </c>
      <c r="I23" s="69" t="s">
        <v>310</v>
      </c>
    </row>
    <row r="24" spans="1:12" ht="31.5">
      <c r="A24" s="103">
        <v>14</v>
      </c>
      <c r="B24" s="108" t="s">
        <v>360</v>
      </c>
      <c r="C24" s="105" t="s">
        <v>324</v>
      </c>
      <c r="D24" s="68">
        <f>D18+D23</f>
        <v>20369212</v>
      </c>
      <c r="E24" s="69" t="s">
        <v>310</v>
      </c>
      <c r="F24" s="68">
        <f>F18+F23</f>
        <v>40642411</v>
      </c>
      <c r="G24" s="69" t="s">
        <v>310</v>
      </c>
      <c r="H24" s="68">
        <f>H18+H23</f>
        <v>20114444</v>
      </c>
      <c r="I24" s="69" t="s">
        <v>310</v>
      </c>
    </row>
    <row r="25" spans="1:12">
      <c r="A25" s="109">
        <v>15</v>
      </c>
      <c r="B25" s="110" t="s">
        <v>361</v>
      </c>
      <c r="C25" s="111" t="s">
        <v>362</v>
      </c>
      <c r="D25" s="72">
        <f>D24/D15</f>
        <v>59525.159631204435</v>
      </c>
      <c r="E25" s="60" t="s">
        <v>310</v>
      </c>
      <c r="F25" s="72">
        <f>F24/(F15)</f>
        <v>59525.161216619774</v>
      </c>
      <c r="G25" s="60" t="s">
        <v>310</v>
      </c>
      <c r="H25" s="72">
        <f>H24/(H15)</f>
        <v>59525.15869375434</v>
      </c>
      <c r="I25" s="60" t="s">
        <v>310</v>
      </c>
    </row>
    <row r="26" spans="1:12">
      <c r="A26" s="103">
        <v>16</v>
      </c>
      <c r="B26" s="108" t="s">
        <v>332</v>
      </c>
      <c r="C26" s="98"/>
      <c r="D26" s="60" t="s">
        <v>310</v>
      </c>
      <c r="E26" s="60" t="s">
        <v>310</v>
      </c>
      <c r="F26" s="60" t="s">
        <v>310</v>
      </c>
      <c r="G26" s="60" t="s">
        <v>310</v>
      </c>
      <c r="H26" s="60" t="s">
        <v>310</v>
      </c>
      <c r="I26" s="60" t="s">
        <v>310</v>
      </c>
    </row>
    <row r="27" spans="1:12" ht="47.25">
      <c r="A27" s="103">
        <v>17</v>
      </c>
      <c r="B27" s="108" t="s">
        <v>363</v>
      </c>
      <c r="C27" s="108" t="s">
        <v>364</v>
      </c>
      <c r="D27" s="74">
        <f>D25</f>
        <v>59525.159631204435</v>
      </c>
      <c r="E27" s="60" t="s">
        <v>310</v>
      </c>
      <c r="F27" s="74">
        <f>F25</f>
        <v>59525.161216619774</v>
      </c>
      <c r="G27" s="60" t="s">
        <v>310</v>
      </c>
      <c r="H27" s="74">
        <f>H25</f>
        <v>59525.15869375434</v>
      </c>
      <c r="I27" s="60" t="s">
        <v>310</v>
      </c>
      <c r="J27" s="112">
        <f>SUM(D24:I24)/SUM(D15:I15)</f>
        <v>59525.160193031414</v>
      </c>
    </row>
    <row r="28" spans="1:12" ht="31.5">
      <c r="A28" s="103">
        <v>18</v>
      </c>
      <c r="B28" s="108" t="s">
        <v>365</v>
      </c>
      <c r="C28" s="100" t="s">
        <v>366</v>
      </c>
      <c r="D28" s="113" t="s">
        <v>310</v>
      </c>
      <c r="E28" s="60" t="s">
        <v>310</v>
      </c>
      <c r="F28" s="113" t="s">
        <v>310</v>
      </c>
      <c r="G28" s="60" t="s">
        <v>310</v>
      </c>
      <c r="H28" s="113" t="s">
        <v>310</v>
      </c>
      <c r="I28" s="60" t="s">
        <v>310</v>
      </c>
      <c r="J28" s="114">
        <f>J27/1000000</f>
        <v>5.9525160193031411E-2</v>
      </c>
    </row>
    <row r="29" spans="1:12" ht="31.5">
      <c r="A29" s="103">
        <v>19</v>
      </c>
      <c r="B29" s="108" t="s">
        <v>367</v>
      </c>
      <c r="C29" s="100" t="s">
        <v>366</v>
      </c>
      <c r="D29" s="60" t="s">
        <v>310</v>
      </c>
      <c r="E29" s="60" t="s">
        <v>310</v>
      </c>
      <c r="F29" s="60" t="s">
        <v>310</v>
      </c>
      <c r="G29" s="60" t="s">
        <v>310</v>
      </c>
      <c r="H29" s="60" t="s">
        <v>310</v>
      </c>
      <c r="I29" s="60" t="s">
        <v>310</v>
      </c>
    </row>
    <row r="30" spans="1:12" ht="28.5" customHeight="1">
      <c r="A30" s="103">
        <v>20</v>
      </c>
      <c r="B30" s="108" t="s">
        <v>368</v>
      </c>
      <c r="C30" s="100" t="s">
        <v>366</v>
      </c>
      <c r="D30" s="60" t="s">
        <v>310</v>
      </c>
      <c r="E30" s="60" t="s">
        <v>310</v>
      </c>
      <c r="F30" s="60" t="s">
        <v>310</v>
      </c>
      <c r="G30" s="60" t="s">
        <v>310</v>
      </c>
      <c r="H30" s="60" t="s">
        <v>310</v>
      </c>
      <c r="I30" s="60" t="s">
        <v>310</v>
      </c>
    </row>
    <row r="31" spans="1:12" ht="28.5" customHeight="1">
      <c r="A31" s="103">
        <v>21</v>
      </c>
      <c r="B31" s="104" t="s">
        <v>369</v>
      </c>
      <c r="C31" s="100" t="s">
        <v>366</v>
      </c>
      <c r="D31" s="64">
        <v>10500</v>
      </c>
      <c r="E31" s="60" t="s">
        <v>310</v>
      </c>
      <c r="F31" s="64">
        <v>10200</v>
      </c>
      <c r="G31" s="60" t="s">
        <v>310</v>
      </c>
      <c r="H31" s="64">
        <v>10200</v>
      </c>
      <c r="I31" s="60" t="s">
        <v>310</v>
      </c>
      <c r="J31" s="91">
        <v>10500</v>
      </c>
      <c r="K31" s="91">
        <v>10500</v>
      </c>
      <c r="L31" s="91">
        <v>10500</v>
      </c>
    </row>
    <row r="32" spans="1:12" ht="27" customHeight="1">
      <c r="A32" s="103">
        <v>22</v>
      </c>
      <c r="B32" s="104" t="s">
        <v>370</v>
      </c>
      <c r="C32" s="100" t="s">
        <v>366</v>
      </c>
      <c r="D32" s="78" t="s">
        <v>310</v>
      </c>
      <c r="E32" s="60" t="s">
        <v>310</v>
      </c>
      <c r="F32" s="78" t="s">
        <v>310</v>
      </c>
      <c r="G32" s="60" t="s">
        <v>310</v>
      </c>
      <c r="H32" s="78" t="s">
        <v>310</v>
      </c>
      <c r="I32" s="60" t="s">
        <v>310</v>
      </c>
    </row>
    <row r="33" spans="1:10" ht="27" customHeight="1" thickBot="1">
      <c r="A33" s="115">
        <v>23</v>
      </c>
      <c r="B33" s="116" t="s">
        <v>371</v>
      </c>
      <c r="C33" s="117" t="s">
        <v>366</v>
      </c>
      <c r="D33" s="64">
        <f>D31</f>
        <v>10500</v>
      </c>
      <c r="E33" s="60" t="s">
        <v>310</v>
      </c>
      <c r="F33" s="64">
        <f>F31</f>
        <v>10200</v>
      </c>
      <c r="G33" s="60" t="s">
        <v>310</v>
      </c>
      <c r="H33" s="64">
        <f>H31</f>
        <v>10200</v>
      </c>
      <c r="I33" s="60" t="s">
        <v>310</v>
      </c>
      <c r="J33" s="118">
        <f>(D33*D15+F33*F15+H33*H15)/(D15+F15+H15)</f>
        <v>10275.324293209929</v>
      </c>
    </row>
    <row r="36" spans="1:10">
      <c r="A36" s="94" t="s">
        <v>342</v>
      </c>
      <c r="B36" s="94"/>
      <c r="C36" s="94"/>
      <c r="D36" s="94"/>
      <c r="E36" s="94"/>
      <c r="F36" s="94"/>
      <c r="G36" s="94"/>
      <c r="H36" s="94"/>
      <c r="I36" s="94"/>
    </row>
    <row r="37" spans="1:10" ht="40.5" customHeight="1">
      <c r="A37" s="2114" t="s">
        <v>343</v>
      </c>
      <c r="B37" s="2114"/>
      <c r="C37" s="2114"/>
      <c r="D37" s="2114"/>
      <c r="E37" s="2114"/>
      <c r="F37" s="2114"/>
      <c r="G37" s="2114"/>
      <c r="H37" s="2114"/>
      <c r="I37" s="2114"/>
    </row>
    <row r="38" spans="1:10">
      <c r="A38" s="119" t="s">
        <v>344</v>
      </c>
      <c r="C38" s="119"/>
      <c r="D38" s="119"/>
      <c r="E38" s="119"/>
      <c r="F38" s="119"/>
      <c r="G38" s="119"/>
      <c r="H38" s="119"/>
      <c r="I38" s="119"/>
    </row>
    <row r="39" spans="1:10">
      <c r="A39" s="120"/>
      <c r="B39" s="120"/>
      <c r="C39" s="120"/>
      <c r="D39" s="120"/>
      <c r="E39" s="120"/>
      <c r="F39" s="120"/>
      <c r="G39" s="120"/>
      <c r="H39" s="120"/>
      <c r="I39" s="120"/>
    </row>
    <row r="40" spans="1:10">
      <c r="A40" s="119"/>
      <c r="B40" s="119"/>
      <c r="C40" s="119"/>
      <c r="D40" s="119"/>
      <c r="E40" s="119"/>
      <c r="F40" s="119"/>
      <c r="G40" s="119"/>
      <c r="H40" s="119"/>
      <c r="I40" s="119"/>
    </row>
    <row r="44" spans="1:10">
      <c r="H44" s="121" t="s">
        <v>289</v>
      </c>
    </row>
    <row r="46" spans="1:10" hidden="1"/>
    <row r="47" spans="1:10" hidden="1">
      <c r="D47" s="91">
        <f>D33*D15+F33*F15+H33*H15</f>
        <v>14004105.9</v>
      </c>
    </row>
    <row r="48" spans="1:10" hidden="1">
      <c r="D48" s="91">
        <f>D47/(D15+F15+H15)</f>
        <v>10275.324293209929</v>
      </c>
    </row>
    <row r="49" hidden="1"/>
  </sheetData>
  <mergeCells count="10">
    <mergeCell ref="A37:I37"/>
    <mergeCell ref="A3:I3"/>
    <mergeCell ref="A8:A9"/>
    <mergeCell ref="B8:B10"/>
    <mergeCell ref="D8:E8"/>
    <mergeCell ref="F8:G8"/>
    <mergeCell ref="H8:I8"/>
    <mergeCell ref="D9:E9"/>
    <mergeCell ref="F9:G9"/>
    <mergeCell ref="H9:I9"/>
  </mergeCells>
  <printOptions horizontalCentered="1"/>
  <pageMargins left="0.7" right="0.7" top="0.75" bottom="0.75" header="0.3" footer="0.3"/>
  <pageSetup scale="58" orientation="portrait" r:id="rId1"/>
  <headerFooter alignWithMargins="0"/>
</worksheet>
</file>

<file path=xl/worksheets/sheet34.xml><?xml version="1.0" encoding="utf-8"?>
<worksheet xmlns="http://schemas.openxmlformats.org/spreadsheetml/2006/main" xmlns:r="http://schemas.openxmlformats.org/officeDocument/2006/relationships">
  <dimension ref="A1:L43"/>
  <sheetViews>
    <sheetView workbookViewId="0">
      <selection activeCell="B12" sqref="B12"/>
    </sheetView>
  </sheetViews>
  <sheetFormatPr defaultColWidth="9.33203125" defaultRowHeight="15.75"/>
  <cols>
    <col min="1" max="1" width="12" style="156" customWidth="1"/>
    <col min="2" max="2" width="18.5" style="156" customWidth="1"/>
    <col min="3" max="3" width="15.5" style="156" customWidth="1"/>
    <col min="4" max="4" width="22.1640625" style="156" customWidth="1"/>
    <col min="5" max="5" width="18" style="156" customWidth="1"/>
    <col min="6" max="6" width="9.33203125" style="156"/>
    <col min="7" max="7" width="13.6640625" style="156" customWidth="1"/>
    <col min="8" max="8" width="15" style="156" customWidth="1"/>
    <col min="9" max="9" width="13.33203125" style="156" customWidth="1"/>
    <col min="10" max="10" width="11.33203125" style="156" customWidth="1"/>
    <col min="11" max="11" width="11.83203125" style="156" customWidth="1"/>
    <col min="12" max="12" width="18.1640625" style="156" customWidth="1"/>
    <col min="13" max="16384" width="9.33203125" style="156"/>
  </cols>
  <sheetData>
    <row r="1" spans="1:12">
      <c r="A1" s="232" t="s">
        <v>592</v>
      </c>
      <c r="B1" s="232"/>
      <c r="C1" s="232"/>
      <c r="D1" s="232"/>
    </row>
    <row r="2" spans="1:12">
      <c r="A2" s="2130" t="s">
        <v>593</v>
      </c>
      <c r="B2" s="2131"/>
      <c r="C2" s="2131"/>
      <c r="D2" s="2131"/>
      <c r="E2" s="2131"/>
      <c r="F2" s="2131"/>
      <c r="G2" s="2131"/>
      <c r="H2" s="2131"/>
      <c r="I2" s="2131"/>
      <c r="J2" s="2131"/>
      <c r="K2" s="2131"/>
      <c r="L2" s="2132"/>
    </row>
    <row r="3" spans="1:12">
      <c r="A3" s="2125" t="s">
        <v>269</v>
      </c>
      <c r="B3" s="2126"/>
      <c r="C3" s="2127"/>
      <c r="D3" s="1843" t="s">
        <v>417</v>
      </c>
      <c r="E3" s="2133"/>
      <c r="F3" s="2133"/>
      <c r="G3" s="2133"/>
      <c r="H3" s="2133"/>
      <c r="I3" s="2133"/>
      <c r="J3" s="2133"/>
      <c r="K3" s="2133"/>
      <c r="L3" s="1844"/>
    </row>
    <row r="4" spans="1:12">
      <c r="A4" s="2128" t="s">
        <v>522</v>
      </c>
      <c r="B4" s="2128"/>
      <c r="C4" s="2128"/>
      <c r="D4" s="1843" t="s">
        <v>415</v>
      </c>
      <c r="E4" s="2133"/>
      <c r="F4" s="2133"/>
      <c r="G4" s="2133"/>
      <c r="H4" s="2133"/>
      <c r="I4" s="2133"/>
      <c r="J4" s="2133"/>
      <c r="K4" s="2133"/>
      <c r="L4" s="1844"/>
    </row>
    <row r="5" spans="1:12" ht="110.25">
      <c r="A5" s="268" t="s">
        <v>594</v>
      </c>
      <c r="B5" s="269" t="s">
        <v>595</v>
      </c>
      <c r="C5" s="269" t="s">
        <v>596</v>
      </c>
      <c r="D5" s="269" t="s">
        <v>597</v>
      </c>
      <c r="E5" s="269" t="s">
        <v>598</v>
      </c>
      <c r="F5" s="269" t="s">
        <v>599</v>
      </c>
      <c r="G5" s="269" t="s">
        <v>600</v>
      </c>
      <c r="H5" s="269" t="s">
        <v>601</v>
      </c>
      <c r="I5" s="269" t="s">
        <v>602</v>
      </c>
      <c r="J5" s="269" t="s">
        <v>603</v>
      </c>
      <c r="K5" s="269" t="s">
        <v>604</v>
      </c>
      <c r="L5" s="269" t="s">
        <v>605</v>
      </c>
    </row>
    <row r="6" spans="1:12" ht="47.25">
      <c r="A6" s="270">
        <v>1</v>
      </c>
      <c r="B6" s="235" t="s">
        <v>589</v>
      </c>
      <c r="C6" s="235" t="s">
        <v>590</v>
      </c>
      <c r="D6" s="261" t="s">
        <v>609</v>
      </c>
      <c r="E6" s="235" t="s">
        <v>615</v>
      </c>
      <c r="F6" s="236" t="s">
        <v>310</v>
      </c>
      <c r="G6" s="235" t="s">
        <v>618</v>
      </c>
      <c r="H6" s="235" t="s">
        <v>621</v>
      </c>
      <c r="I6" s="235"/>
      <c r="J6" s="271">
        <v>2998</v>
      </c>
      <c r="K6" s="271">
        <v>485</v>
      </c>
      <c r="L6" s="271">
        <v>3255</v>
      </c>
    </row>
    <row r="7" spans="1:12" ht="31.5">
      <c r="A7" s="270">
        <v>2</v>
      </c>
      <c r="B7" s="235" t="s">
        <v>589</v>
      </c>
      <c r="C7" s="235" t="s">
        <v>590</v>
      </c>
      <c r="D7" s="261" t="s">
        <v>610</v>
      </c>
      <c r="E7" s="235" t="s">
        <v>615</v>
      </c>
      <c r="F7" s="236" t="s">
        <v>310</v>
      </c>
      <c r="G7" s="235" t="s">
        <v>618</v>
      </c>
      <c r="H7" s="235" t="s">
        <v>622</v>
      </c>
      <c r="I7" s="235"/>
      <c r="J7" s="271">
        <v>464</v>
      </c>
      <c r="K7" s="271">
        <v>99</v>
      </c>
      <c r="L7" s="271">
        <v>560</v>
      </c>
    </row>
    <row r="8" spans="1:12" ht="31.5">
      <c r="A8" s="270">
        <v>3</v>
      </c>
      <c r="B8" s="235" t="s">
        <v>589</v>
      </c>
      <c r="C8" s="235" t="s">
        <v>590</v>
      </c>
      <c r="D8" s="261" t="s">
        <v>611</v>
      </c>
      <c r="E8" s="235" t="s">
        <v>615</v>
      </c>
      <c r="F8" s="236" t="s">
        <v>310</v>
      </c>
      <c r="G8" s="235" t="s">
        <v>618</v>
      </c>
      <c r="H8" s="235" t="s">
        <v>623</v>
      </c>
      <c r="I8" s="235"/>
      <c r="J8" s="271">
        <v>610</v>
      </c>
      <c r="K8" s="271">
        <v>122</v>
      </c>
      <c r="L8" s="271">
        <v>673</v>
      </c>
    </row>
    <row r="9" spans="1:12" ht="47.25">
      <c r="A9" s="270">
        <v>4</v>
      </c>
      <c r="B9" s="235" t="s">
        <v>591</v>
      </c>
      <c r="C9" s="235" t="s">
        <v>607</v>
      </c>
      <c r="D9" s="261" t="s">
        <v>612</v>
      </c>
      <c r="E9" s="235" t="s">
        <v>616</v>
      </c>
      <c r="F9" s="236">
        <v>13</v>
      </c>
      <c r="G9" s="235" t="s">
        <v>619</v>
      </c>
      <c r="H9" s="235" t="s">
        <v>624</v>
      </c>
      <c r="I9" s="235"/>
      <c r="J9" s="271">
        <v>490</v>
      </c>
      <c r="K9" s="271">
        <v>33</v>
      </c>
      <c r="L9" s="2129">
        <v>867</v>
      </c>
    </row>
    <row r="10" spans="1:12" ht="47.25">
      <c r="A10" s="270">
        <v>5</v>
      </c>
      <c r="B10" s="235" t="s">
        <v>591</v>
      </c>
      <c r="C10" s="235" t="s">
        <v>607</v>
      </c>
      <c r="D10" s="261" t="s">
        <v>613</v>
      </c>
      <c r="E10" s="235" t="s">
        <v>616</v>
      </c>
      <c r="F10" s="236">
        <v>13</v>
      </c>
      <c r="G10" s="235" t="s">
        <v>619</v>
      </c>
      <c r="H10" s="235" t="s">
        <v>624</v>
      </c>
      <c r="I10" s="235"/>
      <c r="J10" s="271">
        <v>483</v>
      </c>
      <c r="K10" s="271">
        <v>32</v>
      </c>
      <c r="L10" s="2129"/>
    </row>
    <row r="11" spans="1:12" ht="63">
      <c r="A11" s="270">
        <v>6</v>
      </c>
      <c r="B11" s="261" t="s">
        <v>606</v>
      </c>
      <c r="C11" s="261" t="s">
        <v>608</v>
      </c>
      <c r="D11" s="261" t="s">
        <v>614</v>
      </c>
      <c r="E11" s="261" t="s">
        <v>617</v>
      </c>
      <c r="F11" s="236">
        <v>1</v>
      </c>
      <c r="G11" s="235" t="s">
        <v>620</v>
      </c>
      <c r="H11" s="235"/>
      <c r="I11" s="235"/>
      <c r="J11" s="271">
        <v>23</v>
      </c>
      <c r="K11" s="271"/>
      <c r="L11" s="271">
        <v>23</v>
      </c>
    </row>
    <row r="12" spans="1:12" ht="220.5">
      <c r="A12" s="270">
        <v>7</v>
      </c>
      <c r="B12" s="260" t="s">
        <v>625</v>
      </c>
    </row>
    <row r="13" spans="1:12">
      <c r="A13" s="270">
        <v>8</v>
      </c>
    </row>
    <row r="14" spans="1:12">
      <c r="A14" s="270">
        <v>9</v>
      </c>
    </row>
    <row r="15" spans="1:12">
      <c r="A15" s="270">
        <v>10</v>
      </c>
    </row>
    <row r="16" spans="1:12">
      <c r="A16" s="270">
        <v>11</v>
      </c>
    </row>
    <row r="17" spans="1:1">
      <c r="A17" s="270">
        <v>12</v>
      </c>
    </row>
    <row r="18" spans="1:1">
      <c r="A18" s="270">
        <v>13</v>
      </c>
    </row>
    <row r="19" spans="1:1">
      <c r="A19" s="270">
        <v>14</v>
      </c>
    </row>
    <row r="20" spans="1:1">
      <c r="A20" s="270">
        <v>15</v>
      </c>
    </row>
    <row r="21" spans="1:1">
      <c r="A21" s="270">
        <v>16</v>
      </c>
    </row>
    <row r="22" spans="1:1">
      <c r="A22" s="270">
        <v>17</v>
      </c>
    </row>
    <row r="23" spans="1:1">
      <c r="A23" s="270">
        <v>18</v>
      </c>
    </row>
    <row r="24" spans="1:1">
      <c r="A24" s="270">
        <v>19</v>
      </c>
    </row>
    <row r="25" spans="1:1">
      <c r="A25" s="270">
        <v>20</v>
      </c>
    </row>
    <row r="26" spans="1:1">
      <c r="A26" s="270">
        <v>21</v>
      </c>
    </row>
    <row r="27" spans="1:1">
      <c r="A27" s="270">
        <v>22</v>
      </c>
    </row>
    <row r="28" spans="1:1">
      <c r="A28" s="270">
        <v>23</v>
      </c>
    </row>
    <row r="29" spans="1:1">
      <c r="A29" s="270">
        <v>24</v>
      </c>
    </row>
    <row r="30" spans="1:1">
      <c r="A30" s="270">
        <v>25</v>
      </c>
    </row>
    <row r="31" spans="1:1">
      <c r="A31" s="270">
        <v>26</v>
      </c>
    </row>
    <row r="32" spans="1:1">
      <c r="A32" s="270">
        <v>27</v>
      </c>
    </row>
    <row r="33" spans="1:1">
      <c r="A33" s="270">
        <v>28</v>
      </c>
    </row>
    <row r="34" spans="1:1">
      <c r="A34" s="270">
        <v>29</v>
      </c>
    </row>
    <row r="35" spans="1:1">
      <c r="A35" s="270">
        <v>30</v>
      </c>
    </row>
    <row r="36" spans="1:1">
      <c r="A36" s="270">
        <v>31</v>
      </c>
    </row>
    <row r="37" spans="1:1">
      <c r="A37" s="270">
        <v>32</v>
      </c>
    </row>
    <row r="38" spans="1:1">
      <c r="A38" s="270">
        <v>33</v>
      </c>
    </row>
    <row r="39" spans="1:1">
      <c r="A39" s="270">
        <v>34</v>
      </c>
    </row>
    <row r="40" spans="1:1">
      <c r="A40" s="270">
        <v>35</v>
      </c>
    </row>
    <row r="41" spans="1:1">
      <c r="A41" s="270">
        <v>36</v>
      </c>
    </row>
    <row r="42" spans="1:1">
      <c r="A42" s="270">
        <v>37</v>
      </c>
    </row>
    <row r="43" spans="1:1">
      <c r="A43" s="270">
        <v>38</v>
      </c>
    </row>
  </sheetData>
  <mergeCells count="6">
    <mergeCell ref="A3:C3"/>
    <mergeCell ref="A4:C4"/>
    <mergeCell ref="L9:L10"/>
    <mergeCell ref="A2:L2"/>
    <mergeCell ref="D3:L3"/>
    <mergeCell ref="D4:L4"/>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3:F44"/>
  <sheetViews>
    <sheetView topLeftCell="A31" workbookViewId="0">
      <selection activeCell="M67" sqref="M67"/>
    </sheetView>
  </sheetViews>
  <sheetFormatPr defaultRowHeight="12.75"/>
  <cols>
    <col min="1" max="1" width="11.83203125" customWidth="1"/>
    <col min="2" max="2" width="15" customWidth="1"/>
    <col min="3" max="3" width="13.6640625" customWidth="1"/>
    <col min="4" max="4" width="14.33203125" customWidth="1"/>
    <col min="5" max="5" width="15" customWidth="1"/>
    <col min="6" max="6" width="15.83203125" customWidth="1"/>
  </cols>
  <sheetData>
    <row r="3" spans="1:6" ht="13.5" thickBot="1"/>
    <row r="4" spans="1:6" ht="13.5" thickBot="1">
      <c r="A4" s="2140" t="s">
        <v>523</v>
      </c>
      <c r="B4" s="2141"/>
      <c r="C4" s="2141"/>
      <c r="D4" s="2141"/>
      <c r="E4" s="2141"/>
      <c r="F4" s="2142"/>
    </row>
    <row r="5" spans="1:6" ht="13.5" thickBot="1">
      <c r="A5" s="2140" t="s">
        <v>524</v>
      </c>
      <c r="B5" s="2141"/>
      <c r="C5" s="2141"/>
      <c r="D5" s="2141"/>
      <c r="E5" s="2141"/>
      <c r="F5" s="2142"/>
    </row>
    <row r="6" spans="1:6" ht="13.5" thickBot="1">
      <c r="A6" s="2143" t="s">
        <v>525</v>
      </c>
      <c r="B6" s="2144"/>
      <c r="C6" s="2144"/>
      <c r="D6" s="2144"/>
      <c r="E6" s="2144"/>
      <c r="F6" s="2145"/>
    </row>
    <row r="7" spans="1:6" ht="13.5" thickBot="1">
      <c r="A7" s="2143" t="s">
        <v>526</v>
      </c>
      <c r="B7" s="2144"/>
      <c r="C7" s="2144"/>
      <c r="D7" s="2144"/>
      <c r="E7" s="2144"/>
      <c r="F7" s="2145"/>
    </row>
    <row r="8" spans="1:6" ht="13.5" thickBot="1">
      <c r="A8" s="2146" t="s">
        <v>527</v>
      </c>
      <c r="B8" s="2147"/>
      <c r="C8" s="2147"/>
      <c r="D8" s="2147"/>
      <c r="E8" s="2147"/>
      <c r="F8" s="2148"/>
    </row>
    <row r="9" spans="1:6">
      <c r="A9" s="237" t="s">
        <v>528</v>
      </c>
      <c r="B9" s="2149" t="s">
        <v>376</v>
      </c>
      <c r="C9" s="238" t="s">
        <v>529</v>
      </c>
      <c r="D9" s="238" t="s">
        <v>529</v>
      </c>
      <c r="E9" s="238" t="s">
        <v>529</v>
      </c>
      <c r="F9" s="238" t="s">
        <v>529</v>
      </c>
    </row>
    <row r="10" spans="1:6" ht="13.5" thickBot="1">
      <c r="A10" s="239" t="s">
        <v>530</v>
      </c>
      <c r="B10" s="2150"/>
      <c r="C10" s="240" t="s">
        <v>531</v>
      </c>
      <c r="D10" s="240" t="s">
        <v>532</v>
      </c>
      <c r="E10" s="240" t="s">
        <v>533</v>
      </c>
      <c r="F10" s="240" t="s">
        <v>534</v>
      </c>
    </row>
    <row r="11" spans="1:6" ht="13.5" thickBot="1">
      <c r="A11" s="241">
        <v>1</v>
      </c>
      <c r="B11" s="242">
        <v>2</v>
      </c>
      <c r="C11" s="242">
        <v>5</v>
      </c>
      <c r="D11" s="242">
        <v>6</v>
      </c>
      <c r="E11" s="242">
        <v>7</v>
      </c>
      <c r="F11" s="242">
        <v>8</v>
      </c>
    </row>
    <row r="12" spans="1:6" ht="13.5" thickBot="1">
      <c r="A12" s="241"/>
      <c r="B12" s="243" t="s">
        <v>535</v>
      </c>
      <c r="C12" s="242"/>
      <c r="D12" s="242"/>
      <c r="E12" s="242"/>
      <c r="F12" s="242"/>
    </row>
    <row r="13" spans="1:6" ht="24.75" thickBot="1">
      <c r="A13" s="241"/>
      <c r="B13" s="243" t="s">
        <v>536</v>
      </c>
      <c r="C13" s="244">
        <v>3478.66</v>
      </c>
      <c r="D13" s="244">
        <v>3980</v>
      </c>
      <c r="E13" s="244">
        <v>3980</v>
      </c>
      <c r="F13" s="244">
        <v>3980</v>
      </c>
    </row>
    <row r="14" spans="1:6" ht="48.75" thickBot="1">
      <c r="A14" s="241"/>
      <c r="B14" s="245" t="s">
        <v>537</v>
      </c>
      <c r="C14" s="246" t="s">
        <v>470</v>
      </c>
      <c r="D14" s="246" t="s">
        <v>538</v>
      </c>
      <c r="E14" s="246">
        <v>165.83</v>
      </c>
      <c r="F14" s="246">
        <v>497.5</v>
      </c>
    </row>
    <row r="15" spans="1:6" ht="24.75" thickBot="1">
      <c r="A15" s="241"/>
      <c r="B15" s="245" t="s">
        <v>539</v>
      </c>
      <c r="C15" s="244">
        <v>3478.66</v>
      </c>
      <c r="D15" s="244">
        <v>3980</v>
      </c>
      <c r="E15" s="244">
        <v>3814.17</v>
      </c>
      <c r="F15" s="244">
        <v>3482.5</v>
      </c>
    </row>
    <row r="16" spans="1:6" ht="24.75" thickBot="1">
      <c r="A16" s="241"/>
      <c r="B16" s="245" t="s">
        <v>540</v>
      </c>
      <c r="C16" s="246">
        <v>501.34</v>
      </c>
      <c r="D16" s="246"/>
      <c r="E16" s="246"/>
      <c r="F16" s="246"/>
    </row>
    <row r="17" spans="1:6" ht="48.75" thickBot="1">
      <c r="A17" s="241"/>
      <c r="B17" s="245" t="s">
        <v>541</v>
      </c>
      <c r="C17" s="246">
        <v>0</v>
      </c>
      <c r="D17" s="246">
        <v>165.83</v>
      </c>
      <c r="E17" s="246">
        <v>331.67</v>
      </c>
      <c r="F17" s="246">
        <v>331.67</v>
      </c>
    </row>
    <row r="18" spans="1:6" ht="24.75" thickBot="1">
      <c r="A18" s="241"/>
      <c r="B18" s="245" t="s">
        <v>542</v>
      </c>
      <c r="C18" s="244">
        <f>C15+C16-C17</f>
        <v>3980</v>
      </c>
      <c r="D18" s="244">
        <f>D15+D16-D17</f>
        <v>3814.17</v>
      </c>
      <c r="E18" s="244">
        <f>E15+E16-E17</f>
        <v>3482.5</v>
      </c>
      <c r="F18" s="244">
        <f>F15+F16-F17</f>
        <v>3150.83</v>
      </c>
    </row>
    <row r="19" spans="1:6" ht="24.75" thickBot="1">
      <c r="A19" s="241"/>
      <c r="B19" s="245" t="s">
        <v>543</v>
      </c>
      <c r="C19" s="244">
        <f>AVERAGE(C15,C18)</f>
        <v>3729.33</v>
      </c>
      <c r="D19" s="244">
        <f>AVERAGE(D15,D18)</f>
        <v>3897.085</v>
      </c>
      <c r="E19" s="244">
        <f>AVERAGE(E15,E18)</f>
        <v>3648.335</v>
      </c>
      <c r="F19" s="244">
        <f>AVERAGE(F15,F18)</f>
        <v>3316.665</v>
      </c>
    </row>
    <row r="20" spans="1:6" ht="36.75" thickBot="1">
      <c r="A20" s="241"/>
      <c r="B20" s="243" t="s">
        <v>544</v>
      </c>
      <c r="C20" s="247">
        <v>0.114</v>
      </c>
      <c r="D20" s="247">
        <v>0.114</v>
      </c>
      <c r="E20" s="247">
        <v>0.114</v>
      </c>
      <c r="F20" s="247">
        <v>0.114</v>
      </c>
    </row>
    <row r="21" spans="1:6" ht="24.75" thickBot="1">
      <c r="A21" s="241"/>
      <c r="B21" s="245" t="s">
        <v>383</v>
      </c>
      <c r="C21" s="248">
        <f>C19*C20</f>
        <v>425.14362</v>
      </c>
      <c r="D21" s="248">
        <f>D19*D20</f>
        <v>444.26769000000002</v>
      </c>
      <c r="E21" s="248">
        <f>E19*E20</f>
        <v>415.91019</v>
      </c>
      <c r="F21" s="248">
        <f>F19*F20</f>
        <v>378.09980999999999</v>
      </c>
    </row>
    <row r="22" spans="1:6" ht="13.5" thickBot="1">
      <c r="A22" s="249"/>
      <c r="B22" s="245"/>
      <c r="C22" s="246"/>
      <c r="D22" s="246"/>
      <c r="E22" s="246"/>
      <c r="F22" s="246"/>
    </row>
    <row r="23" spans="1:6" ht="13.5" thickBot="1">
      <c r="A23" s="249"/>
      <c r="B23" s="243" t="s">
        <v>545</v>
      </c>
      <c r="C23" s="246"/>
      <c r="D23" s="246"/>
      <c r="E23" s="246"/>
      <c r="F23" s="246"/>
    </row>
    <row r="24" spans="1:6" ht="24.75" thickBot="1">
      <c r="A24" s="249"/>
      <c r="B24" s="243" t="s">
        <v>536</v>
      </c>
      <c r="C24" s="246"/>
      <c r="D24" s="246">
        <v>700</v>
      </c>
      <c r="E24" s="244">
        <v>1795</v>
      </c>
      <c r="F24" s="244">
        <v>1795</v>
      </c>
    </row>
    <row r="25" spans="1:6" ht="48.75" thickBot="1">
      <c r="A25" s="249"/>
      <c r="B25" s="245" t="s">
        <v>537</v>
      </c>
      <c r="C25" s="246"/>
      <c r="D25" s="246" t="s">
        <v>538</v>
      </c>
      <c r="E25" s="246">
        <v>74.790000000000006</v>
      </c>
      <c r="F25" s="246">
        <v>224.38</v>
      </c>
    </row>
    <row r="26" spans="1:6" ht="24.75" thickBot="1">
      <c r="A26" s="249"/>
      <c r="B26" s="245" t="s">
        <v>539</v>
      </c>
      <c r="C26" s="246">
        <v>0</v>
      </c>
      <c r="D26" s="246">
        <v>700</v>
      </c>
      <c r="E26" s="244">
        <v>1720.21</v>
      </c>
      <c r="F26" s="244">
        <v>1570.63</v>
      </c>
    </row>
    <row r="27" spans="1:6" ht="24.75" thickBot="1">
      <c r="A27" s="249"/>
      <c r="B27" s="245" t="s">
        <v>540</v>
      </c>
      <c r="C27" s="250">
        <v>700</v>
      </c>
      <c r="D27" s="251">
        <v>1095</v>
      </c>
      <c r="E27" s="246"/>
      <c r="F27" s="246"/>
    </row>
    <row r="28" spans="1:6" ht="48.75" thickBot="1">
      <c r="A28" s="249"/>
      <c r="B28" s="245" t="s">
        <v>541</v>
      </c>
      <c r="C28" s="246">
        <v>0</v>
      </c>
      <c r="D28" s="246">
        <v>74.790000000000006</v>
      </c>
      <c r="E28" s="246">
        <v>149.58000000000001</v>
      </c>
      <c r="F28" s="246">
        <v>149.58000000000001</v>
      </c>
    </row>
    <row r="29" spans="1:6" ht="24.75" thickBot="1">
      <c r="A29" s="249"/>
      <c r="B29" s="245" t="s">
        <v>542</v>
      </c>
      <c r="C29" s="244">
        <f>C26+C27-C28</f>
        <v>700</v>
      </c>
      <c r="D29" s="244">
        <f>D26+D27-D28</f>
        <v>1720.21</v>
      </c>
      <c r="E29" s="244">
        <f>E26+E27-E28</f>
        <v>1570.63</v>
      </c>
      <c r="F29" s="244">
        <f>F26+F27-F28</f>
        <v>1421.0500000000002</v>
      </c>
    </row>
    <row r="30" spans="1:6" ht="24.75" thickBot="1">
      <c r="A30" s="249"/>
      <c r="B30" s="245" t="s">
        <v>543</v>
      </c>
      <c r="C30" s="244">
        <f>AVERAGE(C26,C29)</f>
        <v>350</v>
      </c>
      <c r="D30" s="244">
        <f>AVERAGE(D26,D29)</f>
        <v>1210.105</v>
      </c>
      <c r="E30" s="244">
        <f>AVERAGE(E26,E29)</f>
        <v>1645.42</v>
      </c>
      <c r="F30" s="244">
        <f>AVERAGE(F26,F29)</f>
        <v>1495.8400000000001</v>
      </c>
    </row>
    <row r="31" spans="1:6" ht="36.75" thickBot="1">
      <c r="A31" s="249"/>
      <c r="B31" s="243" t="s">
        <v>544</v>
      </c>
      <c r="C31" s="247">
        <v>9.2899999999999996E-2</v>
      </c>
      <c r="D31" s="247">
        <v>9.2899999999999996E-2</v>
      </c>
      <c r="E31" s="247">
        <v>9.2899999999999996E-2</v>
      </c>
      <c r="F31" s="247">
        <v>9.2899999999999996E-2</v>
      </c>
    </row>
    <row r="32" spans="1:6" ht="24.75" thickBot="1">
      <c r="A32" s="249"/>
      <c r="B32" s="245" t="s">
        <v>383</v>
      </c>
      <c r="C32" s="252">
        <f>C30*C31</f>
        <v>32.515000000000001</v>
      </c>
      <c r="D32" s="252">
        <f>D30*D31</f>
        <v>112.41875449999999</v>
      </c>
      <c r="E32" s="252">
        <f>E30*E31</f>
        <v>152.85951800000001</v>
      </c>
      <c r="F32" s="252">
        <f>F30*F31</f>
        <v>138.963536</v>
      </c>
    </row>
    <row r="33" spans="1:6" ht="13.5" thickBot="1">
      <c r="A33" s="249"/>
      <c r="B33" s="243" t="s">
        <v>546</v>
      </c>
      <c r="C33" s="246"/>
      <c r="D33" s="246"/>
      <c r="E33" s="246"/>
      <c r="F33" s="246"/>
    </row>
    <row r="34" spans="1:6" ht="24.75" thickBot="1">
      <c r="A34" s="249"/>
      <c r="B34" s="243" t="s">
        <v>547</v>
      </c>
      <c r="C34" s="244">
        <f>C13+C24</f>
        <v>3478.66</v>
      </c>
      <c r="D34" s="244">
        <f>D13+D24</f>
        <v>4680</v>
      </c>
      <c r="E34" s="244">
        <f>E13+E24</f>
        <v>5775</v>
      </c>
      <c r="F34" s="244">
        <f>F13+F24</f>
        <v>5775</v>
      </c>
    </row>
    <row r="35" spans="1:6" ht="48.75" thickBot="1">
      <c r="A35" s="249"/>
      <c r="B35" s="245" t="s">
        <v>537</v>
      </c>
      <c r="C35" s="246"/>
      <c r="D35" s="246" t="s">
        <v>538</v>
      </c>
      <c r="E35" s="246">
        <f>E14+E25</f>
        <v>240.62</v>
      </c>
      <c r="F35" s="246">
        <f>F14+F25</f>
        <v>721.88</v>
      </c>
    </row>
    <row r="36" spans="1:6" ht="24.75" thickBot="1">
      <c r="A36" s="249"/>
      <c r="B36" s="245" t="s">
        <v>539</v>
      </c>
      <c r="C36" s="244">
        <f>C26+C15</f>
        <v>3478.66</v>
      </c>
      <c r="D36" s="244">
        <f>D26+D15</f>
        <v>4680</v>
      </c>
      <c r="E36" s="244">
        <f>E26+E15</f>
        <v>5534.38</v>
      </c>
      <c r="F36" s="244">
        <f>F26+F15</f>
        <v>5053.13</v>
      </c>
    </row>
    <row r="37" spans="1:6" ht="24.75" thickBot="1">
      <c r="A37" s="249"/>
      <c r="B37" s="245" t="s">
        <v>540</v>
      </c>
      <c r="C37" s="244">
        <f>C16+C27</f>
        <v>1201.3399999999999</v>
      </c>
      <c r="D37" s="244">
        <f>D16+D27</f>
        <v>1095</v>
      </c>
      <c r="E37" s="246" t="s">
        <v>538</v>
      </c>
      <c r="F37" s="246" t="s">
        <v>548</v>
      </c>
    </row>
    <row r="38" spans="1:6" ht="48.75" thickBot="1">
      <c r="A38" s="249"/>
      <c r="B38" s="245" t="s">
        <v>541</v>
      </c>
      <c r="C38" s="246" t="s">
        <v>549</v>
      </c>
      <c r="D38" s="246">
        <f t="shared" ref="D38:F39" si="0">D17+D28</f>
        <v>240.62</v>
      </c>
      <c r="E38" s="246">
        <f t="shared" si="0"/>
        <v>481.25</v>
      </c>
      <c r="F38" s="246">
        <f t="shared" si="0"/>
        <v>481.25</v>
      </c>
    </row>
    <row r="39" spans="1:6" ht="24.75" thickBot="1">
      <c r="A39" s="249"/>
      <c r="B39" s="245" t="s">
        <v>542</v>
      </c>
      <c r="C39" s="244">
        <f>C18+C29</f>
        <v>4680</v>
      </c>
      <c r="D39" s="244">
        <f t="shared" si="0"/>
        <v>5534.38</v>
      </c>
      <c r="E39" s="244">
        <f t="shared" si="0"/>
        <v>5053.13</v>
      </c>
      <c r="F39" s="244">
        <f t="shared" si="0"/>
        <v>4571.88</v>
      </c>
    </row>
    <row r="40" spans="1:6" ht="24.75" thickBot="1">
      <c r="A40" s="249"/>
      <c r="B40" s="245" t="s">
        <v>543</v>
      </c>
      <c r="C40" s="244">
        <f>AVERAGE(C36,C39)</f>
        <v>4079.33</v>
      </c>
      <c r="D40" s="244">
        <f>AVERAGE(D36,D39)</f>
        <v>5107.1900000000005</v>
      </c>
      <c r="E40" s="244">
        <f>AVERAGE(E36,E39)</f>
        <v>5293.7550000000001</v>
      </c>
      <c r="F40" s="244">
        <f>AVERAGE(F36,F39)</f>
        <v>4812.5050000000001</v>
      </c>
    </row>
    <row r="41" spans="1:6" ht="36.75" thickBot="1">
      <c r="A41" s="249"/>
      <c r="B41" s="243" t="s">
        <v>544</v>
      </c>
      <c r="C41" s="247">
        <f>C42/C40</f>
        <v>0.11218965369313098</v>
      </c>
      <c r="D41" s="247">
        <f>D42/D40</f>
        <v>0.10900053542163106</v>
      </c>
      <c r="E41" s="247">
        <f>E42/E40</f>
        <v>0.10744163792997599</v>
      </c>
      <c r="F41" s="247">
        <f>F42/F40</f>
        <v>0.10744162260610639</v>
      </c>
    </row>
    <row r="42" spans="1:6" ht="24.75" thickBot="1">
      <c r="A42" s="249"/>
      <c r="B42" s="245" t="s">
        <v>383</v>
      </c>
      <c r="C42" s="248">
        <f>C21+C32</f>
        <v>457.65861999999998</v>
      </c>
      <c r="D42" s="248">
        <f>D21+D32</f>
        <v>556.68644449999999</v>
      </c>
      <c r="E42" s="248">
        <f>E21+E32</f>
        <v>568.76970800000004</v>
      </c>
      <c r="F42" s="248">
        <f>F21+F32</f>
        <v>517.06334600000002</v>
      </c>
    </row>
    <row r="43" spans="1:6">
      <c r="A43" s="2134" t="s">
        <v>550</v>
      </c>
      <c r="B43" s="2135"/>
      <c r="C43" s="2135"/>
      <c r="D43" s="2135"/>
      <c r="E43" s="2135"/>
      <c r="F43" s="2136"/>
    </row>
    <row r="44" spans="1:6" ht="13.5" thickBot="1">
      <c r="A44" s="2137"/>
      <c r="B44" s="2138"/>
      <c r="C44" s="2138"/>
      <c r="D44" s="2138"/>
      <c r="E44" s="2138"/>
      <c r="F44" s="2139"/>
    </row>
  </sheetData>
  <mergeCells count="7">
    <mergeCell ref="A43:F44"/>
    <mergeCell ref="A4:F4"/>
    <mergeCell ref="A5:F5"/>
    <mergeCell ref="A6:F6"/>
    <mergeCell ref="A7:F7"/>
    <mergeCell ref="A8:F8"/>
    <mergeCell ref="B9:B10"/>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U16"/>
  <sheetViews>
    <sheetView workbookViewId="0">
      <selection activeCell="I22" sqref="I22"/>
    </sheetView>
  </sheetViews>
  <sheetFormatPr defaultColWidth="9.33203125" defaultRowHeight="15"/>
  <cols>
    <col min="1" max="16384" width="9.33203125" style="253"/>
  </cols>
  <sheetData>
    <row r="1" spans="1:21" ht="15.75" thickBot="1">
      <c r="A1" s="2178" t="s">
        <v>555</v>
      </c>
      <c r="B1" s="2179"/>
      <c r="C1" s="2179"/>
      <c r="D1" s="2179"/>
      <c r="E1" s="2179"/>
      <c r="F1" s="2179"/>
      <c r="G1" s="2179"/>
      <c r="H1" s="2179"/>
      <c r="I1" s="2179"/>
      <c r="J1" s="2179"/>
      <c r="K1" s="2179"/>
      <c r="L1" s="2179"/>
      <c r="M1" s="2179"/>
      <c r="N1" s="2179"/>
      <c r="O1" s="2179"/>
      <c r="P1" s="2179"/>
      <c r="Q1" s="2179"/>
      <c r="R1" s="2179"/>
      <c r="S1" s="2179"/>
      <c r="T1" s="2179"/>
      <c r="U1" s="2180"/>
    </row>
    <row r="2" spans="1:21" ht="15.75" thickBot="1">
      <c r="A2" s="2181" t="s">
        <v>269</v>
      </c>
      <c r="B2" s="2182"/>
      <c r="C2" s="2182"/>
      <c r="D2" s="2182"/>
      <c r="E2" s="2182"/>
      <c r="F2" s="2182"/>
      <c r="G2" s="2183"/>
      <c r="H2" s="2184" t="s">
        <v>417</v>
      </c>
      <c r="I2" s="2185"/>
      <c r="J2" s="2185"/>
      <c r="K2" s="2185"/>
      <c r="L2" s="2185"/>
      <c r="M2" s="2185"/>
      <c r="N2" s="2185"/>
      <c r="O2" s="2185"/>
      <c r="P2" s="2185"/>
      <c r="Q2" s="2185"/>
      <c r="R2" s="2185"/>
      <c r="S2" s="2185"/>
      <c r="T2" s="2185"/>
      <c r="U2" s="2186"/>
    </row>
    <row r="3" spans="1:21" ht="15.75" thickBot="1">
      <c r="A3" s="2181" t="s">
        <v>270</v>
      </c>
      <c r="B3" s="2182"/>
      <c r="C3" s="2182"/>
      <c r="D3" s="2182"/>
      <c r="E3" s="2182"/>
      <c r="F3" s="2182"/>
      <c r="G3" s="2183"/>
      <c r="H3" s="2184" t="s">
        <v>556</v>
      </c>
      <c r="I3" s="2185"/>
      <c r="J3" s="2185"/>
      <c r="K3" s="2185"/>
      <c r="L3" s="2185"/>
      <c r="M3" s="2185"/>
      <c r="N3" s="2185"/>
      <c r="O3" s="2185"/>
      <c r="P3" s="2185"/>
      <c r="Q3" s="2185"/>
      <c r="R3" s="2185"/>
      <c r="S3" s="2185"/>
      <c r="T3" s="2185"/>
      <c r="U3" s="2186"/>
    </row>
    <row r="4" spans="1:21" ht="15.75" thickBot="1">
      <c r="A4" s="2172" t="s">
        <v>557</v>
      </c>
      <c r="B4" s="2173"/>
      <c r="C4" s="2173"/>
      <c r="D4" s="2173"/>
      <c r="E4" s="2173"/>
      <c r="F4" s="2173"/>
      <c r="G4" s="2173"/>
      <c r="H4" s="2173"/>
      <c r="I4" s="2173"/>
      <c r="J4" s="2173"/>
      <c r="K4" s="2174"/>
      <c r="L4" s="2175"/>
      <c r="M4" s="2176"/>
      <c r="N4" s="2176"/>
      <c r="O4" s="2176"/>
      <c r="P4" s="2176"/>
      <c r="Q4" s="2176"/>
      <c r="R4" s="2176"/>
      <c r="S4" s="2176"/>
      <c r="T4" s="2176"/>
      <c r="U4" s="2177"/>
    </row>
    <row r="5" spans="1:21">
      <c r="A5" s="2160" t="s">
        <v>558</v>
      </c>
      <c r="B5" s="2160" t="s">
        <v>376</v>
      </c>
      <c r="C5" s="254" t="s">
        <v>529</v>
      </c>
      <c r="D5" s="254" t="s">
        <v>529</v>
      </c>
      <c r="E5" s="254" t="s">
        <v>529</v>
      </c>
      <c r="F5" s="254" t="s">
        <v>529</v>
      </c>
      <c r="G5" s="2163" t="s">
        <v>529</v>
      </c>
      <c r="H5" s="2164"/>
      <c r="I5" s="254" t="s">
        <v>529</v>
      </c>
      <c r="J5" s="254" t="s">
        <v>529</v>
      </c>
      <c r="K5" s="254" t="s">
        <v>529</v>
      </c>
      <c r="L5" s="254" t="s">
        <v>529</v>
      </c>
      <c r="M5" s="254" t="s">
        <v>529</v>
      </c>
      <c r="N5" s="254" t="s">
        <v>529</v>
      </c>
      <c r="O5" s="254" t="s">
        <v>529</v>
      </c>
      <c r="P5" s="254" t="s">
        <v>529</v>
      </c>
      <c r="Q5" s="254" t="s">
        <v>529</v>
      </c>
      <c r="R5" s="254" t="s">
        <v>529</v>
      </c>
      <c r="S5" s="254" t="s">
        <v>529</v>
      </c>
      <c r="T5" s="254" t="s">
        <v>529</v>
      </c>
      <c r="U5" s="2165" t="s">
        <v>559</v>
      </c>
    </row>
    <row r="6" spans="1:21">
      <c r="A6" s="2161"/>
      <c r="B6" s="2161"/>
      <c r="C6" s="254" t="s">
        <v>560</v>
      </c>
      <c r="D6" s="254" t="s">
        <v>561</v>
      </c>
      <c r="E6" s="254" t="s">
        <v>562</v>
      </c>
      <c r="F6" s="254" t="s">
        <v>563</v>
      </c>
      <c r="G6" s="2168" t="s">
        <v>564</v>
      </c>
      <c r="H6" s="2169"/>
      <c r="I6" s="254" t="s">
        <v>565</v>
      </c>
      <c r="J6" s="254" t="s">
        <v>566</v>
      </c>
      <c r="K6" s="254" t="s">
        <v>567</v>
      </c>
      <c r="L6" s="254" t="s">
        <v>568</v>
      </c>
      <c r="M6" s="254" t="s">
        <v>569</v>
      </c>
      <c r="N6" s="254" t="s">
        <v>570</v>
      </c>
      <c r="O6" s="254" t="s">
        <v>571</v>
      </c>
      <c r="P6" s="254" t="s">
        <v>572</v>
      </c>
      <c r="Q6" s="254" t="s">
        <v>573</v>
      </c>
      <c r="R6" s="254" t="s">
        <v>574</v>
      </c>
      <c r="S6" s="254" t="s">
        <v>575</v>
      </c>
      <c r="T6" s="254" t="s">
        <v>576</v>
      </c>
      <c r="U6" s="2166"/>
    </row>
    <row r="7" spans="1:21" ht="34.5" thickBot="1">
      <c r="A7" s="2162"/>
      <c r="B7" s="2162"/>
      <c r="C7" s="255"/>
      <c r="D7" s="255"/>
      <c r="E7" s="255"/>
      <c r="F7" s="255"/>
      <c r="G7" s="2170"/>
      <c r="H7" s="2171"/>
      <c r="I7" s="255"/>
      <c r="J7" s="255"/>
      <c r="K7" s="255"/>
      <c r="L7" s="255"/>
      <c r="M7" s="255"/>
      <c r="N7" s="255"/>
      <c r="O7" s="255"/>
      <c r="P7" s="255"/>
      <c r="Q7" s="255"/>
      <c r="R7" s="255"/>
      <c r="S7" s="255"/>
      <c r="T7" s="256" t="s">
        <v>577</v>
      </c>
      <c r="U7" s="2167"/>
    </row>
    <row r="8" spans="1:21" ht="15.75" thickBot="1">
      <c r="A8" s="2155">
        <v>1</v>
      </c>
      <c r="B8" s="2157"/>
      <c r="C8" s="2157"/>
      <c r="D8" s="2157"/>
      <c r="E8" s="2156"/>
      <c r="F8" s="2151" t="s">
        <v>578</v>
      </c>
      <c r="G8" s="2152"/>
      <c r="H8" s="2152"/>
      <c r="I8" s="2152"/>
      <c r="J8" s="2152"/>
      <c r="K8" s="2154"/>
      <c r="L8" s="2155" t="s">
        <v>310</v>
      </c>
      <c r="M8" s="2157"/>
      <c r="N8" s="2157"/>
      <c r="O8" s="2157"/>
      <c r="P8" s="2158"/>
      <c r="Q8" s="2159"/>
      <c r="R8" s="2157"/>
      <c r="S8" s="2157"/>
      <c r="T8" s="2157"/>
      <c r="U8" s="2158"/>
    </row>
    <row r="9" spans="1:21" ht="15.75" thickBot="1">
      <c r="A9" s="2155">
        <v>2</v>
      </c>
      <c r="B9" s="2157"/>
      <c r="C9" s="2157"/>
      <c r="D9" s="2157"/>
      <c r="E9" s="2156"/>
      <c r="F9" s="2151" t="s">
        <v>579</v>
      </c>
      <c r="G9" s="2152"/>
      <c r="H9" s="2152"/>
      <c r="I9" s="2152"/>
      <c r="J9" s="2152"/>
      <c r="K9" s="2154"/>
      <c r="L9" s="2155" t="s">
        <v>580</v>
      </c>
      <c r="M9" s="2157"/>
      <c r="N9" s="2157"/>
      <c r="O9" s="2157"/>
      <c r="P9" s="2157"/>
      <c r="Q9" s="2157"/>
      <c r="R9" s="2157"/>
      <c r="S9" s="2157"/>
      <c r="T9" s="2157"/>
      <c r="U9" s="2158"/>
    </row>
    <row r="10" spans="1:21" ht="45.75" thickBot="1">
      <c r="A10" s="257">
        <v>2.1</v>
      </c>
      <c r="B10" s="258" t="s">
        <v>581</v>
      </c>
      <c r="C10" s="258"/>
      <c r="D10" s="258"/>
      <c r="E10" s="258"/>
      <c r="F10" s="258"/>
      <c r="G10" s="2151"/>
      <c r="H10" s="2154"/>
      <c r="I10" s="258"/>
      <c r="J10" s="258"/>
      <c r="K10" s="258"/>
      <c r="L10" s="258"/>
      <c r="M10" s="258"/>
      <c r="N10" s="258"/>
      <c r="O10" s="258"/>
      <c r="P10" s="258"/>
      <c r="Q10" s="258"/>
      <c r="R10" s="258"/>
      <c r="S10" s="258"/>
      <c r="T10" s="258"/>
      <c r="U10" s="258"/>
    </row>
    <row r="11" spans="1:21" ht="34.5" thickBot="1">
      <c r="A11" s="257">
        <v>2.2000000000000002</v>
      </c>
      <c r="B11" s="258" t="s">
        <v>582</v>
      </c>
      <c r="C11" s="259">
        <v>345.15</v>
      </c>
      <c r="D11" s="259">
        <v>6.13</v>
      </c>
      <c r="E11" s="259">
        <v>0</v>
      </c>
      <c r="F11" s="259">
        <v>22.74</v>
      </c>
      <c r="G11" s="2155">
        <v>195.39</v>
      </c>
      <c r="H11" s="2156"/>
      <c r="I11" s="259">
        <v>260.07</v>
      </c>
      <c r="J11" s="259">
        <v>146.63</v>
      </c>
      <c r="K11" s="259">
        <v>237.18</v>
      </c>
      <c r="L11" s="259">
        <v>203.29</v>
      </c>
      <c r="M11" s="259">
        <v>755.52</v>
      </c>
      <c r="N11" s="259">
        <v>205.47</v>
      </c>
      <c r="O11" s="259">
        <v>342.23</v>
      </c>
      <c r="P11" s="259">
        <v>344.32</v>
      </c>
      <c r="Q11" s="259">
        <v>415.13</v>
      </c>
      <c r="R11" s="259">
        <v>175.75</v>
      </c>
      <c r="S11" s="259">
        <v>144.44</v>
      </c>
      <c r="T11" s="259">
        <v>155.32</v>
      </c>
      <c r="U11" s="259">
        <v>926</v>
      </c>
    </row>
    <row r="12" spans="1:21" ht="15.75" thickBot="1">
      <c r="A12" s="257">
        <v>2.2999999999999998</v>
      </c>
      <c r="B12" s="258" t="s">
        <v>583</v>
      </c>
      <c r="C12" s="259">
        <v>345.15</v>
      </c>
      <c r="D12" s="259">
        <v>351.28</v>
      </c>
      <c r="E12" s="259">
        <v>351.28</v>
      </c>
      <c r="F12" s="259">
        <v>374.02</v>
      </c>
      <c r="G12" s="2155">
        <v>569.41</v>
      </c>
      <c r="H12" s="2156"/>
      <c r="I12" s="259">
        <v>829.48</v>
      </c>
      <c r="J12" s="259">
        <v>976.11</v>
      </c>
      <c r="K12" s="259">
        <v>1213.2</v>
      </c>
      <c r="L12" s="259">
        <v>1416.5</v>
      </c>
      <c r="M12" s="259">
        <v>2172.1</v>
      </c>
      <c r="N12" s="259">
        <v>2377.5</v>
      </c>
      <c r="O12" s="259">
        <v>2719.8</v>
      </c>
      <c r="P12" s="259">
        <v>3064.1</v>
      </c>
      <c r="Q12" s="259">
        <v>3479.2</v>
      </c>
      <c r="R12" s="259">
        <v>3655</v>
      </c>
      <c r="S12" s="259">
        <v>3799.4</v>
      </c>
      <c r="T12" s="259">
        <v>3954.7</v>
      </c>
      <c r="U12" s="259">
        <v>4880.7</v>
      </c>
    </row>
    <row r="13" spans="1:21" ht="15.75" thickBot="1">
      <c r="A13" s="257">
        <v>2.4</v>
      </c>
      <c r="B13" s="258" t="s">
        <v>497</v>
      </c>
      <c r="C13" s="259">
        <v>6.13</v>
      </c>
      <c r="D13" s="259">
        <v>10.73</v>
      </c>
      <c r="E13" s="259">
        <v>10.73</v>
      </c>
      <c r="F13" s="259">
        <v>10.86</v>
      </c>
      <c r="G13" s="2155">
        <v>14.72</v>
      </c>
      <c r="H13" s="2156"/>
      <c r="I13" s="259">
        <v>19.88</v>
      </c>
      <c r="J13" s="259">
        <v>26.61</v>
      </c>
      <c r="K13" s="259">
        <v>33.74</v>
      </c>
      <c r="L13" s="259">
        <v>41.01</v>
      </c>
      <c r="M13" s="259">
        <v>53.09</v>
      </c>
      <c r="N13" s="259">
        <v>67.790000000000006</v>
      </c>
      <c r="O13" s="259">
        <v>77.53</v>
      </c>
      <c r="P13" s="259">
        <v>89.15</v>
      </c>
      <c r="Q13" s="259">
        <v>96.6</v>
      </c>
      <c r="R13" s="259">
        <v>105.95</v>
      </c>
      <c r="S13" s="259">
        <v>112.53</v>
      </c>
      <c r="T13" s="259">
        <v>117.45</v>
      </c>
      <c r="U13" s="259">
        <v>163.21</v>
      </c>
    </row>
    <row r="14" spans="1:21" ht="23.25" thickBot="1">
      <c r="A14" s="257">
        <v>2.5</v>
      </c>
      <c r="B14" s="258" t="s">
        <v>584</v>
      </c>
      <c r="C14" s="259">
        <v>0</v>
      </c>
      <c r="D14" s="259">
        <v>0</v>
      </c>
      <c r="E14" s="259">
        <v>0</v>
      </c>
      <c r="F14" s="259">
        <v>0.03</v>
      </c>
      <c r="G14" s="2155">
        <v>0.04</v>
      </c>
      <c r="H14" s="2156"/>
      <c r="I14" s="259">
        <v>0.05</v>
      </c>
      <c r="J14" s="259">
        <v>0.09</v>
      </c>
      <c r="K14" s="259">
        <v>0</v>
      </c>
      <c r="L14" s="259">
        <v>0.01</v>
      </c>
      <c r="M14" s="259">
        <v>0.02</v>
      </c>
      <c r="N14" s="259">
        <v>0</v>
      </c>
      <c r="O14" s="259">
        <v>0.02</v>
      </c>
      <c r="P14" s="259">
        <v>0</v>
      </c>
      <c r="Q14" s="259">
        <v>0.01</v>
      </c>
      <c r="R14" s="259">
        <v>0</v>
      </c>
      <c r="S14" s="259">
        <v>0</v>
      </c>
      <c r="T14" s="258">
        <v>0</v>
      </c>
      <c r="U14" s="258">
        <v>1.73</v>
      </c>
    </row>
    <row r="15" spans="1:21" ht="23.25" thickBot="1">
      <c r="A15" s="257">
        <v>2.6</v>
      </c>
      <c r="B15" s="258" t="s">
        <v>585</v>
      </c>
      <c r="C15" s="258" t="s">
        <v>586</v>
      </c>
      <c r="D15" s="258" t="s">
        <v>587</v>
      </c>
      <c r="E15" s="258" t="s">
        <v>587</v>
      </c>
      <c r="F15" s="258" t="s">
        <v>587</v>
      </c>
      <c r="G15" s="2151" t="s">
        <v>587</v>
      </c>
      <c r="H15" s="2154"/>
      <c r="I15" s="258" t="s">
        <v>587</v>
      </c>
      <c r="J15" s="258" t="s">
        <v>587</v>
      </c>
      <c r="K15" s="258" t="s">
        <v>587</v>
      </c>
      <c r="L15" s="258" t="s">
        <v>587</v>
      </c>
      <c r="M15" s="258" t="s">
        <v>587</v>
      </c>
      <c r="N15" s="258" t="s">
        <v>587</v>
      </c>
      <c r="O15" s="258" t="s">
        <v>587</v>
      </c>
      <c r="P15" s="258" t="s">
        <v>587</v>
      </c>
      <c r="Q15" s="258" t="s">
        <v>587</v>
      </c>
      <c r="R15" s="258" t="s">
        <v>587</v>
      </c>
      <c r="S15" s="258" t="s">
        <v>587</v>
      </c>
      <c r="T15" s="258" t="s">
        <v>587</v>
      </c>
      <c r="U15" s="258" t="s">
        <v>586</v>
      </c>
    </row>
    <row r="16" spans="1:21" ht="15.75" thickBot="1">
      <c r="A16" s="2151" t="s">
        <v>588</v>
      </c>
      <c r="B16" s="2152"/>
      <c r="C16" s="2152"/>
      <c r="D16" s="2152"/>
      <c r="E16" s="2152"/>
      <c r="F16" s="2152"/>
      <c r="G16" s="2152"/>
      <c r="H16" s="2152"/>
      <c r="I16" s="2152"/>
      <c r="J16" s="2152"/>
      <c r="K16" s="2152"/>
      <c r="L16" s="2152"/>
      <c r="M16" s="2152"/>
      <c r="N16" s="2152"/>
      <c r="O16" s="2152"/>
      <c r="P16" s="2152"/>
      <c r="Q16" s="2152"/>
      <c r="R16" s="2152"/>
      <c r="S16" s="2152"/>
      <c r="T16" s="2152"/>
      <c r="U16" s="2153"/>
    </row>
  </sheetData>
  <mergeCells count="27">
    <mergeCell ref="A4:K4"/>
    <mergeCell ref="L4:U4"/>
    <mergeCell ref="A1:U1"/>
    <mergeCell ref="A2:G2"/>
    <mergeCell ref="H2:U2"/>
    <mergeCell ref="A3:G3"/>
    <mergeCell ref="H3:U3"/>
    <mergeCell ref="A5:A7"/>
    <mergeCell ref="B5:B7"/>
    <mergeCell ref="G5:H5"/>
    <mergeCell ref="U5:U7"/>
    <mergeCell ref="G6:H6"/>
    <mergeCell ref="G7:H7"/>
    <mergeCell ref="A8:E8"/>
    <mergeCell ref="F8:K8"/>
    <mergeCell ref="L8:P8"/>
    <mergeCell ref="Q8:U8"/>
    <mergeCell ref="A9:E9"/>
    <mergeCell ref="F9:K9"/>
    <mergeCell ref="L9:U9"/>
    <mergeCell ref="A16:U16"/>
    <mergeCell ref="G10:H10"/>
    <mergeCell ref="G11:H11"/>
    <mergeCell ref="G12:H12"/>
    <mergeCell ref="G13:H13"/>
    <mergeCell ref="G14:H14"/>
    <mergeCell ref="G15:H15"/>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3:J26"/>
  <sheetViews>
    <sheetView topLeftCell="A10" zoomScale="130" zoomScaleNormal="130" workbookViewId="0">
      <selection activeCell="I18" sqref="I18"/>
    </sheetView>
  </sheetViews>
  <sheetFormatPr defaultColWidth="9.1640625" defaultRowHeight="15.75"/>
  <cols>
    <col min="1" max="1" width="4.5" style="600" customWidth="1"/>
    <col min="2" max="2" width="3.33203125" style="600" customWidth="1"/>
    <col min="3" max="3" width="25.1640625" style="600" customWidth="1"/>
    <col min="4" max="4" width="10.6640625" style="600" customWidth="1"/>
    <col min="5" max="5" width="18.5" style="600" customWidth="1"/>
    <col min="6" max="6" width="13.33203125" style="600" customWidth="1"/>
    <col min="7" max="10" width="12.5" style="600" bestFit="1" customWidth="1"/>
    <col min="11" max="16384" width="9.1640625" style="600"/>
  </cols>
  <sheetData>
    <row r="3" spans="1:10" ht="16.5" thickBot="1">
      <c r="A3" s="676"/>
      <c r="B3" s="1217"/>
      <c r="C3" s="1217"/>
      <c r="D3" s="1217"/>
      <c r="E3" s="1217"/>
      <c r="F3" s="1217"/>
      <c r="G3" s="1217"/>
      <c r="H3" s="1217"/>
      <c r="I3" s="2092"/>
      <c r="J3" s="2092"/>
    </row>
    <row r="4" spans="1:10">
      <c r="A4" s="2204"/>
      <c r="B4" s="2205"/>
      <c r="C4" s="2205"/>
      <c r="D4" s="2205"/>
      <c r="E4" s="2205"/>
      <c r="F4" s="2205"/>
      <c r="G4" s="2205"/>
      <c r="H4" s="2205"/>
      <c r="I4" s="2205"/>
      <c r="J4" s="2206"/>
    </row>
    <row r="5" spans="1:10">
      <c r="A5" s="1234"/>
      <c r="B5" s="1379"/>
      <c r="C5" s="1379"/>
      <c r="D5" s="1379"/>
      <c r="E5" s="1379"/>
      <c r="F5" s="1379"/>
      <c r="G5" s="1379"/>
      <c r="H5" s="1379"/>
      <c r="I5" s="2092" t="s">
        <v>817</v>
      </c>
      <c r="J5" s="2093"/>
    </row>
    <row r="6" spans="1:10">
      <c r="A6" s="2207" t="s">
        <v>1016</v>
      </c>
      <c r="B6" s="2208"/>
      <c r="C6" s="2208"/>
      <c r="D6" s="2208"/>
      <c r="E6" s="2208"/>
      <c r="F6" s="2208"/>
      <c r="G6" s="2208"/>
      <c r="H6" s="2208"/>
      <c r="I6" s="2208"/>
      <c r="J6" s="2209"/>
    </row>
    <row r="7" spans="1:10">
      <c r="A7" s="1234"/>
      <c r="B7" s="1379"/>
      <c r="C7" s="1379"/>
      <c r="D7" s="1379"/>
      <c r="E7" s="1379"/>
      <c r="F7" s="1379"/>
      <c r="G7" s="1379"/>
      <c r="H7" s="1379"/>
      <c r="I7" s="1379"/>
      <c r="J7" s="1544"/>
    </row>
    <row r="8" spans="1:10" ht="18.75">
      <c r="A8" s="676"/>
      <c r="B8" s="1217"/>
      <c r="C8" s="1218" t="s">
        <v>445</v>
      </c>
      <c r="D8" s="1217"/>
      <c r="E8" s="1218" t="s">
        <v>841</v>
      </c>
      <c r="F8" s="1218"/>
      <c r="G8" s="1217"/>
      <c r="H8" s="1217"/>
      <c r="I8" s="1217"/>
      <c r="J8" s="677"/>
    </row>
    <row r="9" spans="1:10" ht="18.75">
      <c r="A9" s="676"/>
      <c r="B9" s="1217"/>
      <c r="C9" s="1218" t="s">
        <v>446</v>
      </c>
      <c r="D9" s="1217"/>
      <c r="E9" s="1218" t="s">
        <v>415</v>
      </c>
      <c r="F9" s="1218"/>
      <c r="G9" s="1217"/>
      <c r="H9" s="1217"/>
      <c r="I9" s="1217"/>
      <c r="J9" s="677"/>
    </row>
    <row r="10" spans="1:10">
      <c r="A10" s="676"/>
      <c r="B10" s="1217"/>
      <c r="C10" s="1217"/>
      <c r="D10" s="1217"/>
      <c r="E10" s="1217"/>
      <c r="F10" s="1217"/>
      <c r="G10" s="1217"/>
      <c r="H10" s="1217"/>
      <c r="I10" s="1217"/>
      <c r="J10" s="677"/>
    </row>
    <row r="11" spans="1:10" s="596" customFormat="1" ht="23.25" customHeight="1">
      <c r="A11" s="638"/>
      <c r="B11" s="595"/>
      <c r="C11" s="595"/>
      <c r="D11" s="595"/>
      <c r="E11" s="595"/>
      <c r="F11" s="595"/>
      <c r="G11" s="595"/>
      <c r="H11" s="595"/>
      <c r="I11" s="778"/>
      <c r="J11" s="678"/>
    </row>
    <row r="12" spans="1:10" s="597" customFormat="1" ht="19.7" customHeight="1">
      <c r="A12" s="2192" t="s">
        <v>528</v>
      </c>
      <c r="B12" s="2195" t="s">
        <v>376</v>
      </c>
      <c r="C12" s="2196"/>
      <c r="D12" s="2201" t="s">
        <v>1003</v>
      </c>
      <c r="E12" s="2201" t="s">
        <v>1004</v>
      </c>
      <c r="F12" s="2210" t="s">
        <v>1005</v>
      </c>
      <c r="G12" s="2211"/>
      <c r="H12" s="2211"/>
      <c r="I12" s="2211"/>
      <c r="J12" s="2212"/>
    </row>
    <row r="13" spans="1:10" s="597" customFormat="1" ht="14.25" customHeight="1">
      <c r="A13" s="2193"/>
      <c r="B13" s="2197"/>
      <c r="C13" s="2198"/>
      <c r="D13" s="2202"/>
      <c r="E13" s="2202"/>
      <c r="F13" s="598" t="s">
        <v>1009</v>
      </c>
      <c r="G13" s="608" t="s">
        <v>1008</v>
      </c>
      <c r="H13" s="598" t="s">
        <v>1007</v>
      </c>
      <c r="I13" s="598" t="s">
        <v>1006</v>
      </c>
      <c r="J13" s="679" t="s">
        <v>1010</v>
      </c>
    </row>
    <row r="14" spans="1:10" s="597" customFormat="1" ht="15.75" customHeight="1">
      <c r="A14" s="2194"/>
      <c r="B14" s="2199"/>
      <c r="C14" s="2200"/>
      <c r="D14" s="2203"/>
      <c r="E14" s="2203"/>
      <c r="F14" s="229" t="s">
        <v>864</v>
      </c>
      <c r="G14" s="229" t="s">
        <v>865</v>
      </c>
      <c r="H14" s="229" t="s">
        <v>866</v>
      </c>
      <c r="I14" s="229" t="s">
        <v>867</v>
      </c>
      <c r="J14" s="680" t="s">
        <v>868</v>
      </c>
    </row>
    <row r="15" spans="1:10" ht="18" customHeight="1">
      <c r="A15" s="681">
        <v>1</v>
      </c>
      <c r="B15" s="2190" t="s">
        <v>1011</v>
      </c>
      <c r="C15" s="2191"/>
      <c r="D15" s="598" t="s">
        <v>513</v>
      </c>
      <c r="E15" s="606">
        <v>1</v>
      </c>
      <c r="F15" s="610">
        <v>9226.8709999999992</v>
      </c>
      <c r="G15" s="619">
        <v>7345.0599999999995</v>
      </c>
      <c r="H15" s="610">
        <v>9352.9299999999985</v>
      </c>
      <c r="I15" s="720">
        <f>28.8*365*0.85</f>
        <v>8935.1999999999989</v>
      </c>
      <c r="J15" s="721">
        <f>28.8*366*0.85</f>
        <v>8959.68</v>
      </c>
    </row>
    <row r="16" spans="1:10" ht="18" customHeight="1">
      <c r="A16" s="681">
        <v>2</v>
      </c>
      <c r="B16" s="2190" t="s">
        <v>1089</v>
      </c>
      <c r="C16" s="2191"/>
      <c r="D16" s="598" t="s">
        <v>513</v>
      </c>
      <c r="E16" s="606">
        <v>2</v>
      </c>
      <c r="F16" s="610">
        <v>555.64200000000005</v>
      </c>
      <c r="G16" s="619">
        <v>449.73063999999977</v>
      </c>
      <c r="H16" s="610">
        <v>545.36499999999978</v>
      </c>
      <c r="I16" s="720">
        <f>I15*'Energy Charges'!G31</f>
        <v>513.774</v>
      </c>
      <c r="J16" s="721">
        <f>J15*'Energy Charges'!H31</f>
        <v>515.1816</v>
      </c>
    </row>
    <row r="17" spans="1:10" ht="18" customHeight="1">
      <c r="A17" s="681">
        <v>3</v>
      </c>
      <c r="B17" s="2190" t="s">
        <v>1012</v>
      </c>
      <c r="C17" s="2191"/>
      <c r="D17" s="598" t="s">
        <v>513</v>
      </c>
      <c r="E17" s="598" t="s">
        <v>1013</v>
      </c>
      <c r="F17" s="709">
        <f t="shared" ref="F17:J17" si="0">F15-F16</f>
        <v>8671.2289999999994</v>
      </c>
      <c r="G17" s="709">
        <f t="shared" si="0"/>
        <v>6895.3293599999997</v>
      </c>
      <c r="H17" s="709">
        <f t="shared" si="0"/>
        <v>8807.5649999999987</v>
      </c>
      <c r="I17" s="720">
        <f t="shared" si="0"/>
        <v>8421.4259999999995</v>
      </c>
      <c r="J17" s="721">
        <f t="shared" si="0"/>
        <v>8444.4984000000004</v>
      </c>
    </row>
    <row r="18" spans="1:10">
      <c r="A18" s="681">
        <v>4</v>
      </c>
      <c r="B18" s="2190" t="s">
        <v>1052</v>
      </c>
      <c r="C18" s="2191"/>
      <c r="D18" s="601" t="s">
        <v>1053</v>
      </c>
      <c r="E18" s="602" t="s">
        <v>1488</v>
      </c>
      <c r="F18" s="709">
        <f>'Energy Charges'!D42/100</f>
        <v>2.8680000000000003</v>
      </c>
      <c r="G18" s="709">
        <f>'Energy Charges'!E42/100</f>
        <v>2.5880000000000001</v>
      </c>
      <c r="H18" s="709">
        <f>'Energy Charges'!F42/100</f>
        <v>2.73</v>
      </c>
      <c r="I18" s="709">
        <f>'Energy Charges'!G42/100</f>
        <v>3.1669999999999998</v>
      </c>
      <c r="J18" s="710">
        <f>'Energy Charges'!H42/100</f>
        <v>3.1669999999999998</v>
      </c>
    </row>
    <row r="19" spans="1:10" ht="18" customHeight="1">
      <c r="A19" s="681">
        <v>5</v>
      </c>
      <c r="B19" s="2190" t="s">
        <v>1054</v>
      </c>
      <c r="C19" s="2191"/>
      <c r="D19" s="598" t="s">
        <v>1056</v>
      </c>
      <c r="E19" s="598" t="s">
        <v>1055</v>
      </c>
      <c r="F19" s="610">
        <f>F17/10*F18</f>
        <v>2486.9084772000001</v>
      </c>
      <c r="G19" s="610">
        <f t="shared" ref="G19:J19" si="1">G17/10*G18</f>
        <v>1784.511238368</v>
      </c>
      <c r="H19" s="610">
        <f t="shared" si="1"/>
        <v>2404.4652449999994</v>
      </c>
      <c r="I19" s="610">
        <f t="shared" si="1"/>
        <v>2667.0656141999993</v>
      </c>
      <c r="J19" s="669">
        <f t="shared" si="1"/>
        <v>2674.3726432799999</v>
      </c>
    </row>
    <row r="20" spans="1:10" ht="18" customHeight="1">
      <c r="A20" s="764"/>
      <c r="B20" s="765"/>
      <c r="C20" s="765"/>
      <c r="D20" s="766"/>
      <c r="E20" s="766"/>
      <c r="F20" s="767"/>
      <c r="G20" s="767"/>
      <c r="H20" s="767"/>
      <c r="I20" s="767"/>
      <c r="J20" s="768"/>
    </row>
    <row r="21" spans="1:10" ht="21.75" customHeight="1">
      <c r="A21" s="769"/>
      <c r="B21" s="1217"/>
      <c r="C21" s="1217"/>
      <c r="D21" s="1217"/>
      <c r="E21" s="1217"/>
      <c r="F21" s="1217"/>
      <c r="G21" s="1217"/>
      <c r="H21" s="1217"/>
      <c r="I21" s="1217"/>
      <c r="J21" s="677"/>
    </row>
    <row r="22" spans="1:10" ht="66.75" customHeight="1">
      <c r="A22" s="2187" t="s">
        <v>1500</v>
      </c>
      <c r="B22" s="2188"/>
      <c r="C22" s="2188"/>
      <c r="D22" s="2188"/>
      <c r="E22" s="2188"/>
      <c r="F22" s="2188"/>
      <c r="G22" s="2188"/>
      <c r="H22" s="2188"/>
      <c r="I22" s="2188"/>
      <c r="J22" s="2189"/>
    </row>
    <row r="23" spans="1:10" ht="18" customHeight="1">
      <c r="A23" s="682"/>
      <c r="B23" s="1217"/>
      <c r="C23" s="1217"/>
      <c r="D23" s="1217"/>
      <c r="E23" s="1217"/>
      <c r="F23" s="1217"/>
      <c r="G23" s="1217"/>
      <c r="H23" s="1217"/>
      <c r="I23" s="1217"/>
      <c r="J23" s="677"/>
    </row>
    <row r="24" spans="1:10" ht="14.25" customHeight="1">
      <c r="A24" s="676"/>
      <c r="B24" s="1217"/>
      <c r="C24" s="1217"/>
      <c r="D24" s="1217"/>
      <c r="E24" s="1217"/>
      <c r="F24" s="1217"/>
      <c r="G24" s="1217"/>
      <c r="H24" s="1217"/>
      <c r="I24" s="1217"/>
      <c r="J24" s="683" t="s">
        <v>1015</v>
      </c>
    </row>
    <row r="25" spans="1:10">
      <c r="A25" s="676"/>
      <c r="B25" s="1217"/>
      <c r="C25" s="1217"/>
      <c r="D25" s="1217"/>
      <c r="E25" s="1217"/>
      <c r="F25" s="1217"/>
      <c r="G25" s="1217"/>
      <c r="H25" s="1217"/>
      <c r="I25" s="1217"/>
      <c r="J25" s="677"/>
    </row>
    <row r="26" spans="1:10" ht="16.5" thickBot="1">
      <c r="A26" s="684"/>
      <c r="B26" s="685"/>
      <c r="C26" s="685"/>
      <c r="D26" s="685"/>
      <c r="E26" s="685"/>
      <c r="F26" s="685"/>
      <c r="G26" s="685"/>
      <c r="H26" s="685"/>
      <c r="I26" s="685"/>
      <c r="J26" s="686"/>
    </row>
  </sheetData>
  <mergeCells count="15">
    <mergeCell ref="A12:A14"/>
    <mergeCell ref="B12:C14"/>
    <mergeCell ref="D12:D14"/>
    <mergeCell ref="A4:J4"/>
    <mergeCell ref="I3:J3"/>
    <mergeCell ref="A6:J6"/>
    <mergeCell ref="I5:J5"/>
    <mergeCell ref="F12:J12"/>
    <mergeCell ref="E12:E14"/>
    <mergeCell ref="A22:J22"/>
    <mergeCell ref="B17:C17"/>
    <mergeCell ref="B18:C18"/>
    <mergeCell ref="B19:C19"/>
    <mergeCell ref="B15:C15"/>
    <mergeCell ref="B16:C16"/>
  </mergeCells>
  <pageMargins left="0.70866141732283472" right="0.70866141732283472" top="0.74803149606299213" bottom="0.74803149606299213"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dimension ref="B1:L22"/>
  <sheetViews>
    <sheetView topLeftCell="A7" zoomScale="130" zoomScaleNormal="130" workbookViewId="0">
      <selection activeCell="E16" sqref="E16"/>
    </sheetView>
  </sheetViews>
  <sheetFormatPr defaultColWidth="9.1640625" defaultRowHeight="15.75"/>
  <cols>
    <col min="1" max="1" width="9.1640625" style="603"/>
    <col min="2" max="2" width="8.33203125" style="603" customWidth="1"/>
    <col min="3" max="3" width="38.1640625" style="603" customWidth="1"/>
    <col min="4" max="4" width="11.1640625" style="603" customWidth="1"/>
    <col min="5" max="5" width="14.6640625" style="603" customWidth="1"/>
    <col min="6" max="6" width="13.5" style="603" customWidth="1"/>
    <col min="7" max="7" width="13.6640625" style="603" customWidth="1"/>
    <col min="8" max="8" width="13.33203125" style="603" customWidth="1"/>
    <col min="9" max="9" width="12.83203125" style="603" customWidth="1"/>
    <col min="10" max="16384" width="9.1640625" style="603"/>
  </cols>
  <sheetData>
    <row r="1" spans="2:9" ht="16.5" thickBot="1"/>
    <row r="2" spans="2:9" ht="20.25">
      <c r="B2" s="1219"/>
      <c r="C2" s="1235"/>
      <c r="D2" s="1235"/>
      <c r="E2" s="1235"/>
      <c r="F2" s="1235"/>
      <c r="G2" s="1235"/>
      <c r="H2" s="2219" t="s">
        <v>819</v>
      </c>
      <c r="I2" s="2220"/>
    </row>
    <row r="3" spans="2:9" ht="20.25">
      <c r="B3" s="2216" t="s">
        <v>1498</v>
      </c>
      <c r="C3" s="2217"/>
      <c r="D3" s="2217"/>
      <c r="E3" s="2217"/>
      <c r="F3" s="2217"/>
      <c r="G3" s="2217"/>
      <c r="H3" s="2217"/>
      <c r="I3" s="2218"/>
    </row>
    <row r="4" spans="2:9">
      <c r="B4" s="636"/>
      <c r="C4" s="1669"/>
      <c r="D4" s="941"/>
      <c r="E4" s="941"/>
      <c r="F4" s="941"/>
      <c r="G4" s="941"/>
      <c r="H4" s="941"/>
      <c r="I4" s="637"/>
    </row>
    <row r="5" spans="2:9">
      <c r="B5" s="636" t="s">
        <v>895</v>
      </c>
      <c r="C5" s="1669"/>
      <c r="D5" s="941"/>
      <c r="E5" s="941" t="s">
        <v>841</v>
      </c>
      <c r="F5" s="941"/>
      <c r="G5" s="941"/>
      <c r="H5" s="941"/>
      <c r="I5" s="637"/>
    </row>
    <row r="6" spans="2:9">
      <c r="B6" s="636" t="s">
        <v>896</v>
      </c>
      <c r="C6" s="1669"/>
      <c r="D6" s="941"/>
      <c r="E6" s="941" t="s">
        <v>415</v>
      </c>
      <c r="F6" s="941"/>
      <c r="G6" s="941"/>
      <c r="H6" s="941"/>
      <c r="I6" s="637"/>
    </row>
    <row r="7" spans="2:9" ht="22.5" customHeight="1">
      <c r="B7" s="636"/>
      <c r="C7" s="1669"/>
      <c r="D7" s="778"/>
      <c r="E7" s="941"/>
      <c r="F7" s="941"/>
      <c r="G7" s="941"/>
      <c r="H7" s="941"/>
      <c r="I7" s="637"/>
    </row>
    <row r="8" spans="2:9" ht="22.5" customHeight="1">
      <c r="B8" s="638"/>
      <c r="C8" s="778"/>
      <c r="D8" s="778"/>
      <c r="E8" s="941"/>
      <c r="F8" s="941"/>
      <c r="G8" s="941"/>
      <c r="H8" s="2226"/>
      <c r="I8" s="2227"/>
    </row>
    <row r="9" spans="2:9" ht="20.45" customHeight="1">
      <c r="B9" s="2192" t="s">
        <v>528</v>
      </c>
      <c r="C9" s="2221" t="s">
        <v>376</v>
      </c>
      <c r="D9" s="1744" t="s">
        <v>350</v>
      </c>
      <c r="E9" s="2224" t="s">
        <v>1005</v>
      </c>
      <c r="F9" s="2224"/>
      <c r="G9" s="2224"/>
      <c r="H9" s="2224"/>
      <c r="I9" s="2225"/>
    </row>
    <row r="10" spans="2:9" ht="15.75" customHeight="1">
      <c r="B10" s="2193"/>
      <c r="C10" s="2222"/>
      <c r="D10" s="1744"/>
      <c r="E10" s="617" t="s">
        <v>1009</v>
      </c>
      <c r="F10" s="617" t="s">
        <v>1008</v>
      </c>
      <c r="G10" s="617" t="s">
        <v>1007</v>
      </c>
      <c r="H10" s="617" t="s">
        <v>1006</v>
      </c>
      <c r="I10" s="639" t="s">
        <v>1010</v>
      </c>
    </row>
    <row r="11" spans="2:9" ht="18.75" customHeight="1">
      <c r="B11" s="2194"/>
      <c r="C11" s="2223"/>
      <c r="D11" s="1744"/>
      <c r="E11" s="940" t="s">
        <v>864</v>
      </c>
      <c r="F11" s="940" t="s">
        <v>865</v>
      </c>
      <c r="G11" s="940" t="s">
        <v>866</v>
      </c>
      <c r="H11" s="940" t="s">
        <v>867</v>
      </c>
      <c r="I11" s="640" t="s">
        <v>868</v>
      </c>
    </row>
    <row r="12" spans="2:9">
      <c r="B12" s="681">
        <v>1</v>
      </c>
      <c r="C12" s="641" t="s">
        <v>1058</v>
      </c>
      <c r="D12" s="621" t="s">
        <v>276</v>
      </c>
      <c r="E12" s="771">
        <v>0.85</v>
      </c>
      <c r="F12" s="771">
        <v>0.85</v>
      </c>
      <c r="G12" s="771">
        <v>0.85</v>
      </c>
      <c r="H12" s="771">
        <v>0.85</v>
      </c>
      <c r="I12" s="772">
        <v>0.85</v>
      </c>
    </row>
    <row r="13" spans="2:9">
      <c r="B13" s="681">
        <v>2</v>
      </c>
      <c r="C13" s="641" t="s">
        <v>1061</v>
      </c>
      <c r="D13" s="621" t="s">
        <v>513</v>
      </c>
      <c r="E13" s="1633">
        <f>1200*24/1000*366*(1-'Form 3'!D16)*'Form 3'!D15</f>
        <v>8444.4984000000004</v>
      </c>
      <c r="F13" s="1633">
        <f>1200*24/1000*365*(1-'Form 3'!E16)*'Form 3'!E15</f>
        <v>8421.4259999999995</v>
      </c>
      <c r="G13" s="1633">
        <f>1200*24/1000*365*(1-'Form 3'!G16)*'Form 3'!F15</f>
        <v>8421.4259999999995</v>
      </c>
      <c r="H13" s="1633">
        <f>1200*24/1000*365*(1-'Form 3'!H16)*'Form 3'!G15</f>
        <v>8421.4259999999995</v>
      </c>
      <c r="I13" s="1634">
        <f>1200*24/1000*366*(1-'Form 3'!H16)*'Form 3'!H15</f>
        <v>8444.4984000000004</v>
      </c>
    </row>
    <row r="14" spans="2:9">
      <c r="B14" s="681">
        <v>3</v>
      </c>
      <c r="C14" s="641" t="s">
        <v>1057</v>
      </c>
      <c r="D14" s="621" t="s">
        <v>513</v>
      </c>
      <c r="E14" s="1633">
        <f>'FUEL COST'!F17</f>
        <v>8671.2289999999994</v>
      </c>
      <c r="F14" s="1633">
        <f>'FUEL COST'!G17</f>
        <v>6895.3293599999997</v>
      </c>
      <c r="G14" s="1633">
        <f>'FUEL COST'!H17</f>
        <v>8807.5649999999987</v>
      </c>
      <c r="H14" s="1633">
        <f>'FUEL COST'!I17</f>
        <v>8421.4259999999995</v>
      </c>
      <c r="I14" s="1634">
        <f>'FUEL COST'!J17</f>
        <v>8444.4984000000004</v>
      </c>
    </row>
    <row r="15" spans="2:9">
      <c r="B15" s="681">
        <v>4</v>
      </c>
      <c r="C15" s="641" t="s">
        <v>1062</v>
      </c>
      <c r="D15" s="621" t="s">
        <v>513</v>
      </c>
      <c r="E15" s="1633">
        <f>IF(E14&gt;E13,E14-E13,0)</f>
        <v>226.73059999999896</v>
      </c>
      <c r="F15" s="620">
        <f t="shared" ref="F15:I15" si="0">IF(F14&gt;F13,F14-F13,0)</f>
        <v>0</v>
      </c>
      <c r="G15" s="1633">
        <f t="shared" si="0"/>
        <v>386.13899999999921</v>
      </c>
      <c r="H15" s="620">
        <f t="shared" si="0"/>
        <v>0</v>
      </c>
      <c r="I15" s="642">
        <f t="shared" si="0"/>
        <v>0</v>
      </c>
    </row>
    <row r="16" spans="2:9" ht="34.15" customHeight="1">
      <c r="B16" s="681">
        <v>5</v>
      </c>
      <c r="C16" s="643" t="s">
        <v>1059</v>
      </c>
      <c r="D16" s="613" t="s">
        <v>1053</v>
      </c>
      <c r="E16" s="773">
        <f>'Form 3'!D29/100</f>
        <v>0.5</v>
      </c>
      <c r="F16" s="773">
        <f>'Form 3'!E29/100</f>
        <v>0.5</v>
      </c>
      <c r="G16" s="773">
        <f>'Form 3'!F29/100</f>
        <v>0.5</v>
      </c>
      <c r="H16" s="773">
        <f>'Form 3'!G29/100</f>
        <v>0.5</v>
      </c>
      <c r="I16" s="1237">
        <f>'Form 3'!H29/100</f>
        <v>0.5</v>
      </c>
    </row>
    <row r="17" spans="2:12">
      <c r="B17" s="681">
        <v>6</v>
      </c>
      <c r="C17" s="641" t="s">
        <v>1060</v>
      </c>
      <c r="D17" s="621" t="s">
        <v>1063</v>
      </c>
      <c r="E17" s="774">
        <f>E15/10*E16</f>
        <v>11.336529999999948</v>
      </c>
      <c r="F17" s="774">
        <f t="shared" ref="F17:I17" si="1">F15/10*F16</f>
        <v>0</v>
      </c>
      <c r="G17" s="774">
        <f t="shared" si="1"/>
        <v>19.306949999999961</v>
      </c>
      <c r="H17" s="774">
        <f t="shared" si="1"/>
        <v>0</v>
      </c>
      <c r="I17" s="775">
        <f t="shared" si="1"/>
        <v>0</v>
      </c>
    </row>
    <row r="18" spans="2:12">
      <c r="B18" s="636"/>
      <c r="C18" s="1669"/>
      <c r="D18" s="941"/>
      <c r="E18" s="941"/>
      <c r="F18" s="941"/>
      <c r="G18" s="941"/>
      <c r="H18" s="941"/>
      <c r="I18" s="637"/>
    </row>
    <row r="19" spans="2:12" ht="63" customHeight="1">
      <c r="B19" s="2213" t="s">
        <v>1499</v>
      </c>
      <c r="C19" s="2214"/>
      <c r="D19" s="2214"/>
      <c r="E19" s="2214"/>
      <c r="F19" s="2214"/>
      <c r="G19" s="2214"/>
      <c r="H19" s="2214"/>
      <c r="I19" s="2215"/>
      <c r="J19" s="743"/>
      <c r="K19" s="743"/>
      <c r="L19" s="770"/>
    </row>
    <row r="20" spans="2:12">
      <c r="B20" s="636"/>
      <c r="C20" s="1669"/>
      <c r="D20" s="941"/>
      <c r="E20" s="941"/>
      <c r="F20" s="941"/>
      <c r="G20" s="941"/>
      <c r="H20" s="941"/>
      <c r="I20" s="637"/>
    </row>
    <row r="21" spans="2:12">
      <c r="B21" s="636"/>
      <c r="C21" s="1669"/>
      <c r="D21" s="941"/>
      <c r="E21" s="941"/>
      <c r="F21" s="941"/>
      <c r="G21" s="941"/>
      <c r="H21" s="1238" t="s">
        <v>1015</v>
      </c>
      <c r="I21" s="637"/>
    </row>
    <row r="22" spans="2:12" ht="16.5" thickBot="1">
      <c r="B22" s="644"/>
      <c r="C22" s="645"/>
      <c r="D22" s="645"/>
      <c r="E22" s="645"/>
      <c r="F22" s="645"/>
      <c r="G22" s="645"/>
      <c r="H22" s="645"/>
      <c r="I22" s="646"/>
    </row>
  </sheetData>
  <mergeCells count="8">
    <mergeCell ref="B9:B11"/>
    <mergeCell ref="B19:I19"/>
    <mergeCell ref="B3:I3"/>
    <mergeCell ref="H2:I2"/>
    <mergeCell ref="C9:C11"/>
    <mergeCell ref="D9:D11"/>
    <mergeCell ref="E9:I9"/>
    <mergeCell ref="H8:I8"/>
  </mergeCell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sheetPr>
    <tabColor rgb="FF00B050"/>
  </sheetPr>
  <dimension ref="A1:M45"/>
  <sheetViews>
    <sheetView topLeftCell="A10" workbookViewId="0">
      <selection activeCell="F21" sqref="F21"/>
    </sheetView>
  </sheetViews>
  <sheetFormatPr defaultRowHeight="12.75"/>
  <cols>
    <col min="1" max="1" width="30" customWidth="1"/>
    <col min="2" max="2" width="19.5" customWidth="1"/>
    <col min="3" max="3" width="16.33203125" customWidth="1"/>
    <col min="4" max="4" width="19" customWidth="1"/>
    <col min="5" max="5" width="18.83203125" customWidth="1"/>
    <col min="6" max="6" width="19.1640625" customWidth="1"/>
    <col min="13" max="14" width="10.1640625" bestFit="1" customWidth="1"/>
  </cols>
  <sheetData>
    <row r="1" spans="1:6" ht="26.45" customHeight="1">
      <c r="A1" s="651" t="s">
        <v>1080</v>
      </c>
      <c r="B1" s="634"/>
      <c r="C1" s="634"/>
      <c r="D1" s="634"/>
      <c r="E1" s="652"/>
      <c r="F1" s="152"/>
    </row>
    <row r="2" spans="1:6" ht="26.45" customHeight="1">
      <c r="A2" s="653"/>
      <c r="B2" s="603"/>
      <c r="C2" s="603"/>
      <c r="D2" s="603"/>
      <c r="E2" s="615"/>
      <c r="F2" s="637"/>
    </row>
    <row r="3" spans="1:6" ht="26.45" customHeight="1">
      <c r="A3" s="654" t="s">
        <v>895</v>
      </c>
      <c r="B3" s="655"/>
      <c r="C3" s="655" t="s">
        <v>841</v>
      </c>
      <c r="D3" s="655"/>
      <c r="E3" s="615"/>
      <c r="F3" s="637"/>
    </row>
    <row r="4" spans="1:6" ht="26.45" customHeight="1">
      <c r="A4" s="654" t="s">
        <v>896</v>
      </c>
      <c r="B4" s="655"/>
      <c r="C4" s="655" t="s">
        <v>415</v>
      </c>
      <c r="D4" s="655"/>
      <c r="E4" s="615"/>
      <c r="F4" s="637"/>
    </row>
    <row r="5" spans="1:6" ht="26.45" customHeight="1">
      <c r="A5" s="653"/>
      <c r="B5" s="603"/>
      <c r="C5" s="603"/>
      <c r="D5" s="603"/>
      <c r="E5" s="615"/>
      <c r="F5" s="637"/>
    </row>
    <row r="6" spans="1:6" ht="26.45" customHeight="1">
      <c r="A6" s="653"/>
      <c r="B6" s="603"/>
      <c r="C6" s="603"/>
      <c r="D6" s="603"/>
      <c r="E6" s="615"/>
      <c r="F6" s="637"/>
    </row>
    <row r="7" spans="1:6" ht="26.45" customHeight="1">
      <c r="A7" s="653"/>
      <c r="B7" s="603"/>
      <c r="C7" s="603"/>
      <c r="D7" s="603"/>
      <c r="E7" s="615"/>
      <c r="F7" s="637" t="s">
        <v>1034</v>
      </c>
    </row>
    <row r="8" spans="1:6" ht="30" customHeight="1">
      <c r="A8" s="656" t="s">
        <v>649</v>
      </c>
      <c r="B8" s="2228" t="s">
        <v>1005</v>
      </c>
      <c r="C8" s="2229"/>
      <c r="D8" s="2229"/>
      <c r="E8" s="2229"/>
      <c r="F8" s="2230"/>
    </row>
    <row r="9" spans="1:6" ht="15.75">
      <c r="A9" s="657"/>
      <c r="B9" s="604" t="s">
        <v>1009</v>
      </c>
      <c r="C9" s="604" t="s">
        <v>1008</v>
      </c>
      <c r="D9" s="604" t="s">
        <v>1007</v>
      </c>
      <c r="E9" s="604" t="s">
        <v>1006</v>
      </c>
      <c r="F9" s="658" t="s">
        <v>1010</v>
      </c>
    </row>
    <row r="10" spans="1:6" ht="15.75">
      <c r="A10" s="659"/>
      <c r="B10" s="605" t="s">
        <v>864</v>
      </c>
      <c r="C10" s="605" t="s">
        <v>865</v>
      </c>
      <c r="D10" s="605" t="s">
        <v>866</v>
      </c>
      <c r="E10" s="605" t="s">
        <v>867</v>
      </c>
      <c r="F10" s="660" t="s">
        <v>868</v>
      </c>
    </row>
    <row r="11" spans="1:6" ht="18.75">
      <c r="A11" s="661" t="s">
        <v>1036</v>
      </c>
      <c r="B11" s="599"/>
      <c r="C11" s="599"/>
      <c r="D11" s="599"/>
      <c r="E11" s="599"/>
      <c r="F11" s="662"/>
    </row>
    <row r="12" spans="1:6" ht="18.75">
      <c r="A12" s="661"/>
      <c r="B12" s="599"/>
      <c r="C12" s="599"/>
      <c r="D12" s="599"/>
      <c r="E12" s="599"/>
      <c r="F12" s="662"/>
    </row>
    <row r="13" spans="1:6" ht="18.75">
      <c r="A13" s="661" t="s">
        <v>1040</v>
      </c>
      <c r="B13" s="599"/>
      <c r="C13" s="599"/>
      <c r="D13" s="599"/>
      <c r="E13" s="599"/>
      <c r="F13" s="662"/>
    </row>
    <row r="14" spans="1:6" ht="18.75">
      <c r="A14" s="661"/>
      <c r="B14" s="599"/>
      <c r="C14" s="599"/>
      <c r="D14" s="599"/>
      <c r="E14" s="599"/>
      <c r="F14" s="662"/>
    </row>
    <row r="15" spans="1:6" ht="15.75">
      <c r="A15" s="663" t="s">
        <v>1032</v>
      </c>
      <c r="B15" s="609">
        <f>'Form 12'!M64</f>
        <v>0</v>
      </c>
      <c r="C15" s="609">
        <f>'Form 12'!N64</f>
        <v>0</v>
      </c>
      <c r="D15" s="609">
        <f>'Form 12'!O64</f>
        <v>645.32000000000005</v>
      </c>
      <c r="E15" s="609">
        <f>D15</f>
        <v>645.32000000000005</v>
      </c>
      <c r="F15" s="664">
        <f>E15</f>
        <v>645.32000000000005</v>
      </c>
    </row>
    <row r="16" spans="1:6" ht="31.5">
      <c r="A16" s="665" t="s">
        <v>1033</v>
      </c>
      <c r="B16" s="609">
        <f>B15*0.02</f>
        <v>0</v>
      </c>
      <c r="C16" s="609">
        <f t="shared" ref="C16:F16" si="0">C15*0.02</f>
        <v>0</v>
      </c>
      <c r="D16" s="609">
        <f t="shared" si="0"/>
        <v>12.906400000000001</v>
      </c>
      <c r="E16" s="609">
        <f t="shared" si="0"/>
        <v>12.906400000000001</v>
      </c>
      <c r="F16" s="664">
        <f t="shared" si="0"/>
        <v>12.906400000000001</v>
      </c>
    </row>
    <row r="17" spans="1:13" ht="15.75">
      <c r="A17" s="665"/>
      <c r="B17" s="609"/>
      <c r="C17" s="609"/>
      <c r="D17" s="609"/>
      <c r="E17" s="609"/>
      <c r="F17" s="664"/>
    </row>
    <row r="18" spans="1:13" ht="18.75">
      <c r="A18" s="661" t="s">
        <v>1041</v>
      </c>
      <c r="B18" s="609"/>
      <c r="C18" s="609"/>
      <c r="D18" s="609"/>
      <c r="E18" s="609"/>
      <c r="F18" s="664"/>
    </row>
    <row r="19" spans="1:13" ht="15.75">
      <c r="A19" s="663"/>
      <c r="B19" s="599"/>
      <c r="C19" s="599"/>
      <c r="D19" s="599"/>
      <c r="E19" s="599"/>
      <c r="F19" s="662"/>
    </row>
    <row r="20" spans="1:13" ht="15.75">
      <c r="A20" s="233" t="s">
        <v>1037</v>
      </c>
      <c r="B20" s="606">
        <v>1500</v>
      </c>
      <c r="C20" s="606">
        <f>B20</f>
        <v>1500</v>
      </c>
      <c r="D20" s="606">
        <f t="shared" ref="D20:F20" si="1">C20</f>
        <v>1500</v>
      </c>
      <c r="E20" s="606">
        <f t="shared" si="1"/>
        <v>1500</v>
      </c>
      <c r="F20" s="666">
        <f t="shared" si="1"/>
        <v>1500</v>
      </c>
    </row>
    <row r="21" spans="1:13" ht="38.25">
      <c r="A21" s="667" t="s">
        <v>1038</v>
      </c>
      <c r="B21" s="606">
        <v>24</v>
      </c>
      <c r="C21" s="606">
        <f>B21</f>
        <v>24</v>
      </c>
      <c r="D21" s="606">
        <f t="shared" ref="D21:F21" si="2">C21</f>
        <v>24</v>
      </c>
      <c r="E21" s="606">
        <f t="shared" si="2"/>
        <v>24</v>
      </c>
      <c r="F21" s="666">
        <f t="shared" si="2"/>
        <v>24</v>
      </c>
    </row>
    <row r="22" spans="1:13" ht="15.75">
      <c r="A22" s="667" t="s">
        <v>1039</v>
      </c>
      <c r="B22" s="606">
        <v>0</v>
      </c>
      <c r="C22" s="606">
        <v>0</v>
      </c>
      <c r="D22" s="606">
        <f t="shared" ref="D22:E22" si="3">365*24</f>
        <v>8760</v>
      </c>
      <c r="E22" s="606">
        <f t="shared" si="3"/>
        <v>8760</v>
      </c>
      <c r="F22" s="666">
        <f t="shared" ref="F22" si="4">366*24</f>
        <v>8784</v>
      </c>
      <c r="M22">
        <f>D21*D20</f>
        <v>36000</v>
      </c>
    </row>
    <row r="23" spans="1:13" ht="15.75">
      <c r="A23" s="663" t="s">
        <v>1042</v>
      </c>
      <c r="B23" s="606">
        <f>B20*B22/10000000</f>
        <v>0</v>
      </c>
      <c r="C23" s="606">
        <f t="shared" ref="C23:F23" si="5">C20*C22/10000000</f>
        <v>0</v>
      </c>
      <c r="D23" s="606">
        <f t="shared" si="5"/>
        <v>1.3140000000000001</v>
      </c>
      <c r="E23" s="606">
        <f t="shared" si="5"/>
        <v>1.3140000000000001</v>
      </c>
      <c r="F23" s="666">
        <f t="shared" si="5"/>
        <v>1.3176000000000001</v>
      </c>
      <c r="M23">
        <f>M22*24*365/10^7</f>
        <v>31.536000000000001</v>
      </c>
    </row>
    <row r="24" spans="1:13" ht="15.75">
      <c r="A24" s="663"/>
      <c r="B24" s="599"/>
      <c r="C24" s="599"/>
      <c r="D24" s="599"/>
      <c r="E24" s="599"/>
      <c r="F24" s="662"/>
    </row>
    <row r="25" spans="1:13" ht="31.5">
      <c r="A25" s="668" t="s">
        <v>1018</v>
      </c>
      <c r="B25" s="599"/>
      <c r="C25" s="599"/>
      <c r="D25" s="599"/>
      <c r="E25" s="599"/>
      <c r="F25" s="662"/>
      <c r="M25">
        <f>M23/365</f>
        <v>8.6400000000000005E-2</v>
      </c>
    </row>
    <row r="26" spans="1:13" ht="15.75">
      <c r="A26" s="663"/>
      <c r="B26" s="599"/>
      <c r="C26" s="599"/>
      <c r="D26" s="599"/>
      <c r="E26" s="599"/>
      <c r="F26" s="662"/>
      <c r="M26">
        <f>M25*20</f>
        <v>1.7280000000000002</v>
      </c>
    </row>
    <row r="27" spans="1:13" ht="31.5">
      <c r="A27" s="663" t="s">
        <v>1043</v>
      </c>
      <c r="B27" s="606">
        <v>0</v>
      </c>
      <c r="C27" s="606">
        <v>0</v>
      </c>
      <c r="D27" s="610">
        <f>D23/12</f>
        <v>0.1095</v>
      </c>
      <c r="E27" s="610">
        <f t="shared" ref="E27:F27" si="6">E23/12</f>
        <v>0.1095</v>
      </c>
      <c r="F27" s="669">
        <f t="shared" si="6"/>
        <v>0.10980000000000001</v>
      </c>
    </row>
    <row r="28" spans="1:13" ht="15.75">
      <c r="A28" s="663" t="s">
        <v>1045</v>
      </c>
      <c r="B28" s="606">
        <v>0</v>
      </c>
      <c r="C28" s="606">
        <v>0</v>
      </c>
      <c r="D28" s="611">
        <f>D16/12</f>
        <v>1.0755333333333335</v>
      </c>
      <c r="E28" s="611">
        <f t="shared" ref="E28:F28" si="7">E16/12</f>
        <v>1.0755333333333335</v>
      </c>
      <c r="F28" s="670">
        <f t="shared" si="7"/>
        <v>1.0755333333333335</v>
      </c>
    </row>
    <row r="29" spans="1:13" ht="31.5">
      <c r="A29" s="663" t="s">
        <v>1044</v>
      </c>
      <c r="B29" s="606">
        <v>0</v>
      </c>
      <c r="C29" s="606">
        <v>0</v>
      </c>
      <c r="D29" s="610">
        <f>D16*0.2</f>
        <v>2.5812800000000005</v>
      </c>
      <c r="E29" s="610">
        <f t="shared" ref="E29:F29" si="8">E16*0.2</f>
        <v>2.5812800000000005</v>
      </c>
      <c r="F29" s="669">
        <f t="shared" si="8"/>
        <v>2.5812800000000005</v>
      </c>
    </row>
    <row r="30" spans="1:13" ht="15.75">
      <c r="A30" s="663" t="s">
        <v>1046</v>
      </c>
      <c r="B30" s="606">
        <v>0</v>
      </c>
      <c r="C30" s="606">
        <v>0</v>
      </c>
      <c r="D30" s="610">
        <v>10.5</v>
      </c>
      <c r="E30" s="610">
        <v>10.5</v>
      </c>
      <c r="F30" s="669">
        <v>10.5</v>
      </c>
    </row>
    <row r="31" spans="1:13" ht="15.75">
      <c r="A31" s="663" t="s">
        <v>1047</v>
      </c>
      <c r="B31" s="606">
        <v>0</v>
      </c>
      <c r="C31" s="606">
        <v>0</v>
      </c>
      <c r="D31" s="610">
        <f>(D27+D28+D29)*D30%</f>
        <v>0.39546290000000001</v>
      </c>
      <c r="E31" s="610">
        <f t="shared" ref="E31:F31" si="9">(E27+E28+E29)*E30%</f>
        <v>0.39546290000000001</v>
      </c>
      <c r="F31" s="610">
        <f t="shared" si="9"/>
        <v>0.39549440000000002</v>
      </c>
    </row>
    <row r="32" spans="1:13" ht="15.75">
      <c r="A32" s="358"/>
      <c r="B32" s="599"/>
      <c r="C32" s="599"/>
      <c r="D32" s="599"/>
      <c r="E32" s="599"/>
      <c r="F32" s="662"/>
    </row>
    <row r="33" spans="1:6" ht="15.75">
      <c r="A33" s="663"/>
      <c r="B33" s="599"/>
      <c r="C33" s="599"/>
      <c r="D33" s="599"/>
      <c r="E33" s="599"/>
      <c r="F33" s="662"/>
    </row>
    <row r="34" spans="1:6" ht="15.75">
      <c r="A34" s="663" t="s">
        <v>1048</v>
      </c>
      <c r="B34" s="599"/>
      <c r="C34" s="599"/>
      <c r="E34" s="599"/>
      <c r="F34" s="662"/>
    </row>
    <row r="35" spans="1:6" ht="15.75">
      <c r="A35" s="663"/>
      <c r="B35" s="599"/>
      <c r="C35" s="599"/>
      <c r="D35" s="599"/>
      <c r="E35" s="599"/>
      <c r="F35" s="662"/>
    </row>
    <row r="36" spans="1:6" ht="52.9" customHeight="1">
      <c r="A36" s="671" t="str">
        <f>'Form 12'!L65</f>
        <v>IN-FURNACE MODIFICATIONS FOR NOX MITIGATION</v>
      </c>
      <c r="B36" s="607">
        <f>'Form 12'!M65</f>
        <v>0</v>
      </c>
      <c r="C36" s="607">
        <f>'Form 12'!N65</f>
        <v>19</v>
      </c>
      <c r="D36" s="607">
        <v>38</v>
      </c>
      <c r="E36" s="607">
        <v>38</v>
      </c>
      <c r="F36" s="672">
        <v>38</v>
      </c>
    </row>
    <row r="37" spans="1:6" ht="42.6" customHeight="1">
      <c r="A37" s="673" t="s">
        <v>1035</v>
      </c>
      <c r="B37" s="613">
        <f>B36*0.02</f>
        <v>0</v>
      </c>
      <c r="C37" s="613">
        <f t="shared" ref="C37:F37" si="10">C36*0.02</f>
        <v>0.38</v>
      </c>
      <c r="D37" s="613">
        <f t="shared" si="10"/>
        <v>0.76</v>
      </c>
      <c r="E37" s="613">
        <f t="shared" si="10"/>
        <v>0.76</v>
      </c>
      <c r="F37" s="674">
        <f t="shared" si="10"/>
        <v>0.76</v>
      </c>
    </row>
    <row r="38" spans="1:6" ht="15.75">
      <c r="A38" s="675"/>
      <c r="B38" s="612"/>
      <c r="C38" s="612"/>
      <c r="D38" s="612"/>
      <c r="E38" s="612"/>
      <c r="F38" s="650"/>
    </row>
    <row r="39" spans="1:6" ht="15.75">
      <c r="A39" s="675"/>
      <c r="B39" s="612"/>
      <c r="C39" s="612"/>
      <c r="D39" s="612"/>
      <c r="E39" s="612"/>
      <c r="F39" s="650"/>
    </row>
    <row r="40" spans="1:6" ht="15.75">
      <c r="A40" s="675"/>
      <c r="B40" s="612"/>
      <c r="C40" s="612"/>
      <c r="D40" s="612"/>
      <c r="E40" s="612"/>
      <c r="F40" s="650"/>
    </row>
    <row r="41" spans="1:6" ht="15.75">
      <c r="A41" s="675"/>
      <c r="B41" s="612"/>
      <c r="C41" s="612"/>
      <c r="D41" s="612"/>
      <c r="E41" s="612"/>
      <c r="F41" s="650"/>
    </row>
    <row r="42" spans="1:6" ht="15.75">
      <c r="A42" s="358"/>
      <c r="B42" s="612"/>
      <c r="C42" s="612"/>
      <c r="D42" s="612"/>
      <c r="E42" s="612"/>
      <c r="F42" s="650" t="s">
        <v>700</v>
      </c>
    </row>
    <row r="43" spans="1:6" ht="13.5" thickBot="1">
      <c r="A43" s="153"/>
      <c r="B43" s="154"/>
      <c r="C43" s="154"/>
      <c r="D43" s="154"/>
      <c r="E43" s="154"/>
      <c r="F43" s="155"/>
    </row>
    <row r="44" spans="1:6" ht="15.75">
      <c r="B44" s="612"/>
      <c r="C44" s="612"/>
      <c r="D44" s="612"/>
      <c r="E44" s="612"/>
      <c r="F44" s="612"/>
    </row>
    <row r="45" spans="1:6" ht="15.75">
      <c r="B45" s="612"/>
      <c r="C45" s="612"/>
      <c r="D45" s="612"/>
      <c r="E45" s="612"/>
      <c r="F45" s="612"/>
    </row>
  </sheetData>
  <mergeCells count="1">
    <mergeCell ref="B8:F8"/>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A1:Y78"/>
  <sheetViews>
    <sheetView zoomScale="115" zoomScaleNormal="115" workbookViewId="0">
      <selection activeCell="Q10" sqref="Q10"/>
    </sheetView>
  </sheetViews>
  <sheetFormatPr defaultColWidth="9.1640625" defaultRowHeight="15.75"/>
  <cols>
    <col min="1" max="1" width="6.6640625" style="603" customWidth="1"/>
    <col min="2" max="2" width="37.33203125" style="603" customWidth="1"/>
    <col min="3" max="3" width="15.6640625" style="603" customWidth="1"/>
    <col min="4" max="4" width="15.1640625" style="603" customWidth="1"/>
    <col min="5" max="5" width="14.83203125" style="603" customWidth="1"/>
    <col min="6" max="6" width="14.6640625" style="603" hidden="1" customWidth="1"/>
    <col min="7" max="7" width="14.83203125" style="603" hidden="1" customWidth="1"/>
    <col min="8" max="8" width="9.1640625" style="603" hidden="1" customWidth="1"/>
    <col min="9" max="9" width="25.83203125" style="603" hidden="1" customWidth="1"/>
    <col min="10" max="11" width="9.1640625" style="603" hidden="1" customWidth="1"/>
    <col min="12" max="12" width="12.5" style="603" hidden="1" customWidth="1"/>
    <col min="13" max="13" width="9.1640625" style="603" hidden="1" customWidth="1"/>
    <col min="14" max="14" width="7" style="603" hidden="1" customWidth="1"/>
    <col min="15" max="15" width="38.5" style="603" hidden="1" customWidth="1"/>
    <col min="16" max="16" width="15.33203125" style="603" bestFit="1" customWidth="1"/>
    <col min="17" max="17" width="16" style="603" bestFit="1" customWidth="1"/>
    <col min="18" max="18" width="12.6640625" style="603" customWidth="1"/>
    <col min="19" max="19" width="13.1640625" style="603" hidden="1" customWidth="1"/>
    <col min="20" max="20" width="15.83203125" style="603" hidden="1" customWidth="1"/>
    <col min="21" max="21" width="14" style="603" customWidth="1"/>
    <col min="22" max="23" width="14.5" style="603" bestFit="1" customWidth="1"/>
    <col min="24" max="16384" width="9.1640625" style="603"/>
  </cols>
  <sheetData>
    <row r="1" spans="1:23">
      <c r="A1" s="647"/>
      <c r="B1" s="634"/>
      <c r="C1" s="634"/>
      <c r="D1" s="634"/>
      <c r="E1" s="634"/>
      <c r="F1" s="634"/>
      <c r="G1" s="635"/>
      <c r="H1" s="634"/>
      <c r="I1" s="634"/>
      <c r="J1" s="634"/>
      <c r="K1" s="634"/>
      <c r="L1" s="634"/>
      <c r="M1" s="634"/>
      <c r="N1" s="634"/>
      <c r="O1" s="634"/>
      <c r="P1" s="634"/>
      <c r="Q1" s="634"/>
      <c r="R1" s="634"/>
      <c r="S1" s="634"/>
      <c r="T1" s="634"/>
      <c r="U1" s="634"/>
      <c r="V1" s="634"/>
      <c r="W1" s="635"/>
    </row>
    <row r="2" spans="1:23" ht="20.25">
      <c r="A2" s="636"/>
      <c r="B2" s="896" t="s">
        <v>1411</v>
      </c>
      <c r="C2" s="777"/>
      <c r="D2" s="777"/>
      <c r="E2" s="777"/>
      <c r="F2" s="777"/>
      <c r="G2" s="637"/>
      <c r="H2" s="777"/>
      <c r="I2" s="777"/>
      <c r="J2" s="777"/>
      <c r="K2" s="777"/>
      <c r="L2" s="777"/>
      <c r="M2" s="777"/>
      <c r="N2" s="777"/>
      <c r="O2" s="777"/>
      <c r="P2" s="777"/>
      <c r="Q2" s="777"/>
      <c r="R2" s="777"/>
      <c r="S2" s="777"/>
      <c r="T2" s="777"/>
      <c r="U2" s="777"/>
      <c r="V2" s="777"/>
      <c r="W2" s="637"/>
    </row>
    <row r="3" spans="1:23">
      <c r="A3" s="636"/>
      <c r="B3" s="777"/>
      <c r="C3" s="777"/>
      <c r="D3" s="777"/>
      <c r="E3" s="777"/>
      <c r="F3" s="777"/>
      <c r="G3" s="637"/>
      <c r="H3" s="777"/>
      <c r="I3" s="777"/>
      <c r="J3" s="777"/>
      <c r="K3" s="777"/>
      <c r="L3" s="777"/>
      <c r="M3" s="777"/>
      <c r="N3" s="777"/>
      <c r="O3" s="777"/>
      <c r="P3" s="777"/>
      <c r="Q3" s="777"/>
      <c r="R3" s="777"/>
      <c r="S3" s="777"/>
      <c r="T3" s="777"/>
      <c r="U3" s="777"/>
      <c r="V3" s="777"/>
      <c r="W3" s="637"/>
    </row>
    <row r="4" spans="1:23">
      <c r="A4" s="636"/>
      <c r="B4" s="777" t="s">
        <v>895</v>
      </c>
      <c r="C4" s="777"/>
      <c r="D4" s="777" t="s">
        <v>841</v>
      </c>
      <c r="E4" s="777"/>
      <c r="F4" s="777"/>
      <c r="G4" s="637"/>
      <c r="H4" s="777"/>
      <c r="I4" s="777"/>
      <c r="J4" s="777"/>
      <c r="K4" s="777"/>
      <c r="L4" s="777"/>
      <c r="M4" s="777"/>
      <c r="N4" s="777"/>
      <c r="O4" s="777"/>
      <c r="P4" s="777"/>
      <c r="Q4" s="777"/>
      <c r="R4" s="777"/>
      <c r="S4" s="777"/>
      <c r="T4" s="777"/>
      <c r="U4" s="777"/>
      <c r="V4" s="777"/>
      <c r="W4" s="637"/>
    </row>
    <row r="5" spans="1:23">
      <c r="A5" s="636"/>
      <c r="B5" s="777" t="s">
        <v>896</v>
      </c>
      <c r="C5" s="777"/>
      <c r="D5" s="777" t="s">
        <v>415</v>
      </c>
      <c r="E5" s="777"/>
      <c r="F5" s="777"/>
      <c r="G5" s="637"/>
      <c r="H5" s="777"/>
      <c r="I5" s="777"/>
      <c r="J5" s="777"/>
      <c r="K5" s="777"/>
      <c r="L5" s="777"/>
      <c r="M5" s="777"/>
      <c r="N5" s="777"/>
      <c r="O5" s="777"/>
      <c r="P5" s="777"/>
      <c r="Q5" s="777"/>
      <c r="R5" s="777"/>
      <c r="S5" s="777"/>
      <c r="T5" s="777"/>
      <c r="U5" s="777"/>
      <c r="V5" s="777"/>
      <c r="W5" s="637"/>
    </row>
    <row r="6" spans="1:23">
      <c r="A6" s="636"/>
      <c r="B6" s="777"/>
      <c r="C6" s="777"/>
      <c r="D6" s="777"/>
      <c r="E6" s="777"/>
      <c r="F6" s="777"/>
      <c r="G6" s="637"/>
      <c r="H6" s="777"/>
      <c r="I6" s="777"/>
      <c r="J6" s="777"/>
      <c r="K6" s="777"/>
      <c r="L6" s="777"/>
      <c r="M6" s="777"/>
      <c r="N6" s="777"/>
      <c r="O6" s="777"/>
      <c r="P6" s="777"/>
      <c r="Q6" s="777"/>
      <c r="R6" s="777"/>
      <c r="S6" s="777"/>
      <c r="T6" s="777"/>
      <c r="U6" s="777"/>
      <c r="V6" s="777"/>
      <c r="W6" s="1703" t="s">
        <v>1415</v>
      </c>
    </row>
    <row r="7" spans="1:23" ht="16.5" thickBot="1">
      <c r="A7" s="636"/>
      <c r="B7" s="777"/>
      <c r="C7" s="777"/>
      <c r="D7" s="777"/>
      <c r="E7" s="777"/>
      <c r="F7" s="777"/>
      <c r="G7" s="637"/>
      <c r="H7" s="777"/>
      <c r="I7" s="777"/>
      <c r="J7" s="777"/>
      <c r="K7" s="777"/>
      <c r="L7" s="777"/>
      <c r="M7" s="777"/>
      <c r="N7" s="777"/>
      <c r="O7" s="777"/>
      <c r="P7" s="777"/>
      <c r="Q7" s="777"/>
      <c r="R7" s="777"/>
      <c r="S7" s="777"/>
      <c r="T7" s="777"/>
      <c r="U7" s="777"/>
      <c r="V7" s="777"/>
      <c r="W7" s="637"/>
    </row>
    <row r="8" spans="1:23" ht="30.75" customHeight="1">
      <c r="A8" s="648" t="s">
        <v>1088</v>
      </c>
      <c r="B8" s="946" t="s">
        <v>649</v>
      </c>
      <c r="C8" s="1735" t="s">
        <v>1353</v>
      </c>
      <c r="D8" s="1736"/>
      <c r="E8" s="1736"/>
      <c r="F8" s="1736"/>
      <c r="G8" s="1737"/>
      <c r="H8" s="779"/>
      <c r="I8" s="773"/>
      <c r="J8" s="773"/>
      <c r="K8" s="773"/>
      <c r="L8" s="773"/>
      <c r="M8" s="773"/>
      <c r="N8" s="773" t="s">
        <v>1088</v>
      </c>
      <c r="O8" s="946" t="s">
        <v>649</v>
      </c>
      <c r="P8" s="1735" t="s">
        <v>1371</v>
      </c>
      <c r="Q8" s="1736"/>
      <c r="R8" s="1736"/>
      <c r="S8" s="1736"/>
      <c r="T8" s="1741"/>
      <c r="U8" s="1731" t="s">
        <v>1352</v>
      </c>
      <c r="V8" s="1732"/>
      <c r="W8" s="1733"/>
    </row>
    <row r="9" spans="1:23">
      <c r="A9" s="641"/>
      <c r="B9" s="948"/>
      <c r="C9" s="957" t="s">
        <v>1009</v>
      </c>
      <c r="D9" s="802" t="s">
        <v>1008</v>
      </c>
      <c r="E9" s="802" t="s">
        <v>1007</v>
      </c>
      <c r="F9" s="802" t="s">
        <v>1006</v>
      </c>
      <c r="G9" s="897" t="s">
        <v>1010</v>
      </c>
      <c r="H9" s="777"/>
      <c r="I9" s="777"/>
      <c r="J9" s="777"/>
      <c r="K9" s="777"/>
      <c r="L9" s="777"/>
      <c r="M9" s="777"/>
      <c r="N9" s="801"/>
      <c r="O9" s="803"/>
      <c r="P9" s="957" t="s">
        <v>1009</v>
      </c>
      <c r="Q9" s="802" t="s">
        <v>1008</v>
      </c>
      <c r="R9" s="802" t="s">
        <v>1007</v>
      </c>
      <c r="S9" s="802" t="s">
        <v>1006</v>
      </c>
      <c r="T9" s="803" t="s">
        <v>1010</v>
      </c>
      <c r="U9" s="957" t="s">
        <v>1009</v>
      </c>
      <c r="V9" s="802" t="s">
        <v>1008</v>
      </c>
      <c r="W9" s="897" t="s">
        <v>1007</v>
      </c>
    </row>
    <row r="10" spans="1:23">
      <c r="A10" s="641"/>
      <c r="B10" s="804"/>
      <c r="C10" s="958" t="s">
        <v>864</v>
      </c>
      <c r="D10" s="940" t="s">
        <v>865</v>
      </c>
      <c r="E10" s="940" t="s">
        <v>866</v>
      </c>
      <c r="F10" s="940" t="s">
        <v>867</v>
      </c>
      <c r="G10" s="640" t="s">
        <v>868</v>
      </c>
      <c r="H10" s="777"/>
      <c r="I10" s="777"/>
      <c r="J10" s="777"/>
      <c r="K10" s="777"/>
      <c r="L10" s="777"/>
      <c r="M10" s="777"/>
      <c r="N10" s="641"/>
      <c r="O10" s="804"/>
      <c r="P10" s="958" t="s">
        <v>864</v>
      </c>
      <c r="Q10" s="940" t="s">
        <v>865</v>
      </c>
      <c r="R10" s="940" t="s">
        <v>866</v>
      </c>
      <c r="S10" s="940" t="s">
        <v>867</v>
      </c>
      <c r="T10" s="804" t="s">
        <v>868</v>
      </c>
      <c r="U10" s="958" t="s">
        <v>864</v>
      </c>
      <c r="V10" s="940" t="s">
        <v>865</v>
      </c>
      <c r="W10" s="640" t="s">
        <v>866</v>
      </c>
    </row>
    <row r="11" spans="1:23">
      <c r="A11" s="648" t="s">
        <v>976</v>
      </c>
      <c r="B11" s="805" t="s">
        <v>756</v>
      </c>
      <c r="C11" s="959"/>
      <c r="D11" s="618"/>
      <c r="E11" s="618"/>
      <c r="F11" s="618"/>
      <c r="G11" s="898"/>
      <c r="H11" s="777"/>
      <c r="I11" s="777"/>
      <c r="J11" s="777"/>
      <c r="K11" s="777"/>
      <c r="L11" s="777"/>
      <c r="M11" s="777"/>
      <c r="N11" s="648" t="s">
        <v>976</v>
      </c>
      <c r="O11" s="805" t="s">
        <v>756</v>
      </c>
      <c r="P11" s="959"/>
      <c r="Q11" s="618"/>
      <c r="R11" s="618"/>
      <c r="S11" s="618"/>
      <c r="T11" s="945"/>
      <c r="U11" s="648"/>
      <c r="V11" s="691"/>
      <c r="W11" s="898"/>
    </row>
    <row r="12" spans="1:23">
      <c r="A12" s="648">
        <v>1</v>
      </c>
      <c r="B12" s="949" t="s">
        <v>410</v>
      </c>
      <c r="C12" s="1635">
        <f>'Form 1'!H15</f>
        <v>405.2222555035155</v>
      </c>
      <c r="D12" s="622">
        <f>'Form 1'!I15</f>
        <v>411.2651103528367</v>
      </c>
      <c r="E12" s="1631">
        <f>'Form 1'!J15</f>
        <v>412.788794430564</v>
      </c>
      <c r="F12" s="622">
        <f>'Form 1'!K15*100</f>
        <v>41512.532782132184</v>
      </c>
      <c r="G12" s="899">
        <f>'Form 1'!L15*100</f>
        <v>41683.675511138485</v>
      </c>
      <c r="H12" s="811"/>
      <c r="I12" s="811"/>
      <c r="J12" s="811"/>
      <c r="K12" s="811"/>
      <c r="L12" s="811"/>
      <c r="M12" s="811"/>
      <c r="N12" s="806">
        <v>1</v>
      </c>
      <c r="O12" s="807" t="s">
        <v>410</v>
      </c>
      <c r="P12" s="1635">
        <f>'Tariff claim'!I9</f>
        <v>400.36</v>
      </c>
      <c r="Q12" s="622">
        <f>'Tariff claim'!J9</f>
        <v>400.36</v>
      </c>
      <c r="R12" s="1631">
        <f>'Tariff claim'!K9</f>
        <v>400.36</v>
      </c>
      <c r="S12" s="622">
        <v>40035.559079999999</v>
      </c>
      <c r="T12" s="1423">
        <v>40035.559079999999</v>
      </c>
      <c r="U12" s="806">
        <f>C12-P12</f>
        <v>4.8622555035154846</v>
      </c>
      <c r="V12" s="622">
        <f t="shared" ref="V12:W12" si="0">D12-Q12</f>
        <v>10.905110352836687</v>
      </c>
      <c r="W12" s="899">
        <f t="shared" si="0"/>
        <v>12.428794430563983</v>
      </c>
    </row>
    <row r="13" spans="1:23">
      <c r="A13" s="648">
        <v>2</v>
      </c>
      <c r="B13" s="949" t="s">
        <v>383</v>
      </c>
      <c r="C13" s="1635">
        <f>'Form 1'!H16</f>
        <v>418.68963457600984</v>
      </c>
      <c r="D13" s="622">
        <f>'Form 1'!I16</f>
        <v>414.87793302508368</v>
      </c>
      <c r="E13" s="1631">
        <f>'Form 1'!J16</f>
        <v>374.90328950122415</v>
      </c>
      <c r="F13" s="622">
        <f>'Form 1'!K16*100</f>
        <v>33592.282123872341</v>
      </c>
      <c r="G13" s="899">
        <f>'Form 1'!L16*100</f>
        <v>29587.285468301281</v>
      </c>
      <c r="H13" s="811"/>
      <c r="I13" s="811"/>
      <c r="J13" s="811"/>
      <c r="K13" s="811"/>
      <c r="L13" s="811"/>
      <c r="M13" s="811"/>
      <c r="N13" s="806">
        <v>2</v>
      </c>
      <c r="O13" s="807" t="s">
        <v>383</v>
      </c>
      <c r="P13" s="1635">
        <f>'Tariff claim'!I10</f>
        <v>395.83</v>
      </c>
      <c r="Q13" s="622">
        <f>'Tariff claim'!J10</f>
        <v>359.24</v>
      </c>
      <c r="R13" s="1631">
        <f>'Tariff claim'!K10</f>
        <v>322.64999999999998</v>
      </c>
      <c r="S13" s="622">
        <v>28606.488604938659</v>
      </c>
      <c r="T13" s="1423">
        <v>24947.638860617455</v>
      </c>
      <c r="U13" s="806">
        <f t="shared" ref="U13:U16" si="1">C13-P13</f>
        <v>22.859634576009853</v>
      </c>
      <c r="V13" s="622">
        <f t="shared" ref="V13:V16" si="2">D13-Q13</f>
        <v>55.637933025083669</v>
      </c>
      <c r="W13" s="899">
        <f t="shared" ref="W13:W16" si="3">E13-R13</f>
        <v>52.253289501224174</v>
      </c>
    </row>
    <row r="14" spans="1:23">
      <c r="A14" s="648">
        <v>3</v>
      </c>
      <c r="B14" s="950" t="s">
        <v>1064</v>
      </c>
      <c r="C14" s="1636">
        <f>'Form 1'!H17</f>
        <v>441.92037887244322</v>
      </c>
      <c r="D14" s="623">
        <f>'Form 1'!I17</f>
        <v>494.47080754449979</v>
      </c>
      <c r="E14" s="796">
        <f>'Form 1'!J17</f>
        <v>496.2428102714079</v>
      </c>
      <c r="F14" s="623">
        <f>'Form 1'!K17*100</f>
        <v>49905.172347779022</v>
      </c>
      <c r="G14" s="904">
        <f>'Form 1'!L17*100</f>
        <v>50110.915211794418</v>
      </c>
      <c r="H14" s="811"/>
      <c r="I14" s="811"/>
      <c r="J14" s="811"/>
      <c r="K14" s="811"/>
      <c r="L14" s="811"/>
      <c r="M14" s="811"/>
      <c r="N14" s="806">
        <v>3</v>
      </c>
      <c r="O14" s="808" t="s">
        <v>1064</v>
      </c>
      <c r="P14" s="1636">
        <f>'Tariff claim'!I11</f>
        <v>436.4</v>
      </c>
      <c r="Q14" s="623">
        <f>'Tariff claim'!J11</f>
        <v>436.4</v>
      </c>
      <c r="R14" s="796">
        <f>'Tariff claim'!K11</f>
        <v>436.4</v>
      </c>
      <c r="S14" s="623">
        <v>43639.571065067241</v>
      </c>
      <c r="T14" s="1639">
        <v>43639.571065067241</v>
      </c>
      <c r="U14" s="806">
        <f t="shared" si="1"/>
        <v>5.5203788724432457</v>
      </c>
      <c r="V14" s="622">
        <f t="shared" si="2"/>
        <v>58.070807544499814</v>
      </c>
      <c r="W14" s="899">
        <f t="shared" si="3"/>
        <v>59.842810271407927</v>
      </c>
    </row>
    <row r="15" spans="1:23">
      <c r="A15" s="648">
        <v>4</v>
      </c>
      <c r="B15" s="950" t="s">
        <v>411</v>
      </c>
      <c r="C15" s="1636">
        <f>'Form 1'!H18</f>
        <v>90.17719165851274</v>
      </c>
      <c r="D15" s="623">
        <f>'Form 1'!I18</f>
        <v>75.856559110034269</v>
      </c>
      <c r="E15" s="796">
        <f>'Form 1'!J18</f>
        <v>78.836071440668334</v>
      </c>
      <c r="F15" s="623">
        <f>'Form 1'!K18*100</f>
        <v>9189.8408933165756</v>
      </c>
      <c r="G15" s="904">
        <f>'Form 1'!L18*100</f>
        <v>9457.1471303420803</v>
      </c>
      <c r="H15" s="811"/>
      <c r="I15" s="811"/>
      <c r="J15" s="811"/>
      <c r="K15" s="811"/>
      <c r="L15" s="811"/>
      <c r="M15" s="811"/>
      <c r="N15" s="806"/>
      <c r="O15" s="808" t="s">
        <v>411</v>
      </c>
      <c r="P15" s="1636">
        <f>'Tariff claim'!I12</f>
        <v>80.400000000000006</v>
      </c>
      <c r="Q15" s="623">
        <f>'Tariff claim'!J12</f>
        <v>80.040000000000006</v>
      </c>
      <c r="R15" s="796">
        <f>'Tariff claim'!K12</f>
        <v>79.84</v>
      </c>
      <c r="S15" s="961">
        <f>'Tariff claim'!L12</f>
        <v>79.650000000000006</v>
      </c>
      <c r="T15" s="1636">
        <f>'Tariff claim'!M12</f>
        <v>79.63</v>
      </c>
      <c r="U15" s="806">
        <f>IF((C15-P15)&gt;0,(C15-P15)*1/3,(C15-P15)*2/3)</f>
        <v>3.2590638861709116</v>
      </c>
      <c r="V15" s="622">
        <f t="shared" ref="V15:W15" si="4">IF((D15-Q15)&gt;0,(D15-Q15)*1/3,(D15-Q15)*2/3)</f>
        <v>-2.7889605933104917</v>
      </c>
      <c r="W15" s="899">
        <f t="shared" si="4"/>
        <v>-0.66928570622111272</v>
      </c>
    </row>
    <row r="16" spans="1:23">
      <c r="A16" s="648">
        <v>5</v>
      </c>
      <c r="B16" s="950" t="s">
        <v>1110</v>
      </c>
      <c r="C16" s="1636">
        <f>'Form 1'!H19</f>
        <v>227.65389931199996</v>
      </c>
      <c r="D16" s="623">
        <f>'Form 1'!I19</f>
        <v>249.95072485999998</v>
      </c>
      <c r="E16" s="796">
        <f>'Form 1'!J19</f>
        <v>281.76497764699991</v>
      </c>
      <c r="F16" s="623">
        <f>'Form 1'!K19*100</f>
        <v>30080</v>
      </c>
      <c r="G16" s="904">
        <f>'Form 1'!L19*100</f>
        <v>31584.000000000004</v>
      </c>
      <c r="H16" s="811"/>
      <c r="I16" s="811"/>
      <c r="J16" s="811"/>
      <c r="K16" s="811"/>
      <c r="L16" s="811"/>
      <c r="M16" s="811"/>
      <c r="N16" s="806"/>
      <c r="O16" s="808" t="s">
        <v>1110</v>
      </c>
      <c r="P16" s="1636">
        <f>'Tariff claim'!I13</f>
        <v>204.18</v>
      </c>
      <c r="Q16" s="623">
        <f>'Tariff claim'!J13</f>
        <v>212.94</v>
      </c>
      <c r="R16" s="796">
        <f>'Tariff claim'!K13</f>
        <v>222.08</v>
      </c>
      <c r="S16" s="623">
        <v>23162.575134654489</v>
      </c>
      <c r="T16" s="1639">
        <v>24157.152431457653</v>
      </c>
      <c r="U16" s="806">
        <f t="shared" si="1"/>
        <v>23.473899311999958</v>
      </c>
      <c r="V16" s="622">
        <f t="shared" si="2"/>
        <v>37.010724859999982</v>
      </c>
      <c r="W16" s="899">
        <f t="shared" si="3"/>
        <v>59.684977646999897</v>
      </c>
    </row>
    <row r="17" spans="1:23" ht="31.5">
      <c r="A17" s="641"/>
      <c r="B17" s="951" t="s">
        <v>1065</v>
      </c>
      <c r="C17" s="962">
        <f>SUM(C12:C16)</f>
        <v>1583.6633599224815</v>
      </c>
      <c r="D17" s="687">
        <f>SUM(D12:D16)</f>
        <v>1646.4211348924546</v>
      </c>
      <c r="E17" s="687">
        <f>SUM(E12:E16)</f>
        <v>1644.5359432908645</v>
      </c>
      <c r="F17" s="687">
        <f>SUM(F12:F16)</f>
        <v>164279.82814710011</v>
      </c>
      <c r="G17" s="900">
        <f>SUM(G12:G16)</f>
        <v>162423.02332157627</v>
      </c>
      <c r="H17" s="811"/>
      <c r="I17" s="811"/>
      <c r="J17" s="811"/>
      <c r="K17" s="811"/>
      <c r="L17" s="811"/>
      <c r="M17" s="811"/>
      <c r="N17" s="809"/>
      <c r="O17" s="810" t="s">
        <v>1065</v>
      </c>
      <c r="P17" s="962">
        <f t="shared" ref="P17:W17" si="5">SUM(P12:P16)</f>
        <v>1517.1700000000003</v>
      </c>
      <c r="Q17" s="687">
        <f t="shared" si="5"/>
        <v>1488.98</v>
      </c>
      <c r="R17" s="687">
        <f t="shared" si="5"/>
        <v>1461.3299999999997</v>
      </c>
      <c r="S17" s="687">
        <f t="shared" si="5"/>
        <v>135523.8438846604</v>
      </c>
      <c r="T17" s="1422">
        <f t="shared" si="5"/>
        <v>132859.55143714236</v>
      </c>
      <c r="U17" s="819">
        <f t="shared" si="5"/>
        <v>59.975232150139455</v>
      </c>
      <c r="V17" s="687">
        <f t="shared" si="5"/>
        <v>158.83561518910966</v>
      </c>
      <c r="W17" s="900">
        <f t="shared" si="5"/>
        <v>183.54058614397485</v>
      </c>
    </row>
    <row r="18" spans="1:23">
      <c r="A18" s="641"/>
      <c r="B18" s="951"/>
      <c r="C18" s="963"/>
      <c r="D18" s="624"/>
      <c r="E18" s="624"/>
      <c r="F18" s="624"/>
      <c r="G18" s="907"/>
      <c r="H18" s="811"/>
      <c r="I18" s="811"/>
      <c r="J18" s="811"/>
      <c r="K18" s="811"/>
      <c r="L18" s="811"/>
      <c r="M18" s="811"/>
      <c r="N18" s="811"/>
      <c r="O18" s="811"/>
      <c r="P18" s="967"/>
      <c r="Q18" s="811"/>
      <c r="R18" s="811"/>
      <c r="S18" s="811"/>
      <c r="T18" s="811"/>
      <c r="U18" s="968"/>
      <c r="V18" s="776"/>
      <c r="W18" s="901"/>
    </row>
    <row r="19" spans="1:23">
      <c r="A19" s="649" t="s">
        <v>977</v>
      </c>
      <c r="B19" s="951" t="s">
        <v>1049</v>
      </c>
      <c r="C19" s="961"/>
      <c r="D19" s="623"/>
      <c r="E19" s="623"/>
      <c r="F19" s="623"/>
      <c r="G19" s="904"/>
      <c r="H19" s="811"/>
      <c r="I19" s="811"/>
      <c r="J19" s="811"/>
      <c r="K19" s="811"/>
      <c r="L19" s="811"/>
      <c r="M19" s="811"/>
      <c r="N19" s="812" t="s">
        <v>977</v>
      </c>
      <c r="O19" s="810" t="s">
        <v>1049</v>
      </c>
      <c r="P19" s="961"/>
      <c r="Q19" s="623"/>
      <c r="R19" s="623"/>
      <c r="S19" s="623"/>
      <c r="T19" s="1639"/>
      <c r="U19" s="806"/>
      <c r="V19" s="687"/>
      <c r="W19" s="899"/>
    </row>
    <row r="20" spans="1:23">
      <c r="A20" s="649"/>
      <c r="B20" s="950" t="s">
        <v>1019</v>
      </c>
      <c r="C20" s="1636">
        <f>'FUEL COST'!F19</f>
        <v>2486.9084772000001</v>
      </c>
      <c r="D20" s="623">
        <f>'FUEL COST'!G19</f>
        <v>1784.511238368</v>
      </c>
      <c r="E20" s="796">
        <f>'FUEL COST'!H19</f>
        <v>2404.4652449999994</v>
      </c>
      <c r="F20" s="623">
        <f>'FUEL COST'!I19*100</f>
        <v>266706.56141999993</v>
      </c>
      <c r="G20" s="904">
        <f>'FUEL COST'!J19*100</f>
        <v>267437.26432800002</v>
      </c>
      <c r="H20" s="811"/>
      <c r="I20" s="811"/>
      <c r="J20" s="811"/>
      <c r="K20" s="811"/>
      <c r="L20" s="811"/>
      <c r="M20" s="811"/>
      <c r="N20" s="812">
        <v>1</v>
      </c>
      <c r="O20" s="808" t="s">
        <v>1019</v>
      </c>
      <c r="P20" s="1636">
        <f>'Energy Charges'!D25</f>
        <v>2479.1043710999998</v>
      </c>
      <c r="Q20" s="623">
        <f>'Energy Charges'!E25</f>
        <v>1794.8542324079999</v>
      </c>
      <c r="R20" s="796">
        <f>'Energy Charges'!F25</f>
        <v>2413.2728099999995</v>
      </c>
      <c r="S20" s="623">
        <f>'Energy Charges'!G25*100</f>
        <v>266706.56141999998</v>
      </c>
      <c r="T20" s="1639">
        <f>'Energy Charges'!H25*100</f>
        <v>267437.26432800002</v>
      </c>
      <c r="U20" s="806">
        <f>IF(P20&gt;C20,(C20-P20)*2/3,(C20-P20)*1/3)</f>
        <v>2.6013687000001178</v>
      </c>
      <c r="V20" s="622">
        <f t="shared" ref="V20:W20" si="6">IF(Q20&gt;D20,(D20-Q20)*2/3,(D20-Q20)*1/3)</f>
        <v>-6.8953293599999297</v>
      </c>
      <c r="W20" s="899">
        <f t="shared" si="6"/>
        <v>-5.8717100000000455</v>
      </c>
    </row>
    <row r="21" spans="1:23" hidden="1">
      <c r="A21" s="649">
        <v>2</v>
      </c>
      <c r="B21" s="950" t="s">
        <v>1020</v>
      </c>
      <c r="C21" s="961">
        <f>'FGD and Nox'!B23*100</f>
        <v>0</v>
      </c>
      <c r="D21" s="623">
        <f>'FGD and Nox'!C23*100</f>
        <v>0</v>
      </c>
      <c r="E21" s="623"/>
      <c r="F21" s="623"/>
      <c r="G21" s="904"/>
      <c r="H21" s="811"/>
      <c r="I21" s="811"/>
      <c r="J21" s="811"/>
      <c r="K21" s="811"/>
      <c r="L21" s="811"/>
      <c r="M21" s="811"/>
      <c r="N21" s="812"/>
      <c r="O21" s="808"/>
      <c r="P21" s="961"/>
      <c r="Q21" s="623"/>
      <c r="R21" s="623"/>
      <c r="S21" s="623"/>
      <c r="T21" s="1639"/>
      <c r="U21" s="806"/>
      <c r="V21" s="622"/>
      <c r="W21" s="899"/>
    </row>
    <row r="22" spans="1:23">
      <c r="A22" s="641"/>
      <c r="B22" s="951" t="s">
        <v>1066</v>
      </c>
      <c r="C22" s="963">
        <f>C20+C21</f>
        <v>2486.9084772000001</v>
      </c>
      <c r="D22" s="624">
        <f>D20+D21</f>
        <v>1784.511238368</v>
      </c>
      <c r="E22" s="624">
        <f>E20+E21</f>
        <v>2404.4652449999994</v>
      </c>
      <c r="F22" s="624">
        <f>F20+F21</f>
        <v>266706.56141999993</v>
      </c>
      <c r="G22" s="907">
        <f>G20+G21</f>
        <v>267437.26432800002</v>
      </c>
      <c r="H22" s="811"/>
      <c r="I22" s="811"/>
      <c r="J22" s="811"/>
      <c r="K22" s="811"/>
      <c r="L22" s="811"/>
      <c r="M22" s="811"/>
      <c r="N22" s="809"/>
      <c r="O22" s="810" t="s">
        <v>1066</v>
      </c>
      <c r="P22" s="963">
        <f t="shared" ref="P22:W22" si="7">P20+P21</f>
        <v>2479.1043710999998</v>
      </c>
      <c r="Q22" s="624">
        <f t="shared" si="7"/>
        <v>1794.8542324079999</v>
      </c>
      <c r="R22" s="624">
        <f t="shared" si="7"/>
        <v>2413.2728099999995</v>
      </c>
      <c r="S22" s="624">
        <f t="shared" si="7"/>
        <v>266706.56141999998</v>
      </c>
      <c r="T22" s="1640">
        <f t="shared" si="7"/>
        <v>267437.26432800002</v>
      </c>
      <c r="U22" s="819">
        <f t="shared" si="7"/>
        <v>2.6013687000001178</v>
      </c>
      <c r="V22" s="687">
        <f t="shared" si="7"/>
        <v>-6.8953293599999297</v>
      </c>
      <c r="W22" s="900">
        <f t="shared" si="7"/>
        <v>-5.8717100000000455</v>
      </c>
    </row>
    <row r="23" spans="1:23">
      <c r="A23" s="641"/>
      <c r="B23" s="952"/>
      <c r="C23" s="961"/>
      <c r="D23" s="623"/>
      <c r="E23" s="623"/>
      <c r="F23" s="623"/>
      <c r="G23" s="904"/>
      <c r="H23" s="811"/>
      <c r="I23" s="811"/>
      <c r="J23" s="811"/>
      <c r="K23" s="811"/>
      <c r="L23" s="811"/>
      <c r="M23" s="811"/>
      <c r="N23" s="811"/>
      <c r="O23" s="811"/>
      <c r="P23" s="967"/>
      <c r="Q23" s="811"/>
      <c r="R23" s="811"/>
      <c r="S23" s="811"/>
      <c r="T23" s="811"/>
      <c r="U23" s="968"/>
      <c r="V23" s="776"/>
      <c r="W23" s="901"/>
    </row>
    <row r="24" spans="1:23">
      <c r="A24" s="649" t="s">
        <v>978</v>
      </c>
      <c r="B24" s="951" t="s">
        <v>1268</v>
      </c>
      <c r="C24" s="963">
        <f>'Form 1'!H29*100</f>
        <v>0</v>
      </c>
      <c r="D24" s="624">
        <f>'Form 1'!I29</f>
        <v>43.046291075894565</v>
      </c>
      <c r="E24" s="624">
        <f>'Form 1'!J29</f>
        <v>-68.6998506746815</v>
      </c>
      <c r="F24" s="624">
        <f>'Form 1'!K29*100</f>
        <v>-6067.0249732830662</v>
      </c>
      <c r="G24" s="907">
        <f>'Form 1'!L29</f>
        <v>-51.552285634207458</v>
      </c>
      <c r="H24" s="902"/>
      <c r="I24" s="902"/>
      <c r="J24" s="902"/>
      <c r="K24" s="902"/>
      <c r="L24" s="902"/>
      <c r="M24" s="902"/>
      <c r="N24" s="813" t="s">
        <v>978</v>
      </c>
      <c r="O24" s="810" t="s">
        <v>1268</v>
      </c>
      <c r="P24" s="963">
        <v>0</v>
      </c>
      <c r="Q24" s="624">
        <v>0</v>
      </c>
      <c r="R24" s="624">
        <v>0</v>
      </c>
      <c r="S24" s="624">
        <v>0</v>
      </c>
      <c r="T24" s="1640">
        <v>0</v>
      </c>
      <c r="U24" s="819">
        <f>C24</f>
        <v>0</v>
      </c>
      <c r="V24" s="687">
        <f t="shared" ref="V24:W24" si="8">D24</f>
        <v>43.046291075894565</v>
      </c>
      <c r="W24" s="900">
        <f t="shared" si="8"/>
        <v>-68.6998506746815</v>
      </c>
    </row>
    <row r="25" spans="1:23">
      <c r="A25" s="641"/>
      <c r="B25" s="950"/>
      <c r="C25" s="961"/>
      <c r="D25" s="623"/>
      <c r="E25" s="623"/>
      <c r="F25" s="623"/>
      <c r="G25" s="904"/>
      <c r="H25" s="811"/>
      <c r="I25" s="811"/>
      <c r="J25" s="811"/>
      <c r="K25" s="811"/>
      <c r="L25" s="811"/>
      <c r="M25" s="811"/>
      <c r="N25" s="809"/>
      <c r="O25" s="808"/>
      <c r="P25" s="961"/>
      <c r="Q25" s="623"/>
      <c r="R25" s="623"/>
      <c r="S25" s="623"/>
      <c r="T25" s="1639"/>
      <c r="U25" s="806"/>
      <c r="V25" s="622"/>
      <c r="W25" s="899"/>
    </row>
    <row r="26" spans="1:23">
      <c r="A26" s="648" t="s">
        <v>979</v>
      </c>
      <c r="B26" s="951" t="s">
        <v>1050</v>
      </c>
      <c r="C26" s="961"/>
      <c r="D26" s="623"/>
      <c r="E26" s="623"/>
      <c r="F26" s="623"/>
      <c r="G26" s="904"/>
      <c r="H26" s="811"/>
      <c r="I26" s="811"/>
      <c r="J26" s="811"/>
      <c r="K26" s="811"/>
      <c r="L26" s="811"/>
      <c r="M26" s="811"/>
      <c r="N26" s="806" t="s">
        <v>979</v>
      </c>
      <c r="O26" s="810" t="s">
        <v>1050</v>
      </c>
      <c r="P26" s="961"/>
      <c r="Q26" s="623"/>
      <c r="R26" s="623"/>
      <c r="S26" s="623"/>
      <c r="T26" s="1639"/>
      <c r="U26" s="806"/>
      <c r="V26" s="687"/>
      <c r="W26" s="899"/>
    </row>
    <row r="27" spans="1:23">
      <c r="A27" s="648">
        <v>1</v>
      </c>
      <c r="B27" s="951" t="s">
        <v>1017</v>
      </c>
      <c r="C27" s="961">
        <f>Incentive!E17</f>
        <v>11.336529999999948</v>
      </c>
      <c r="D27" s="623">
        <f>Incentive!F17</f>
        <v>0</v>
      </c>
      <c r="E27" s="623">
        <f>Incentive!G17</f>
        <v>19.306949999999961</v>
      </c>
      <c r="F27" s="623">
        <f>Incentive!H17*100</f>
        <v>0</v>
      </c>
      <c r="G27" s="904">
        <f>Incentive!I17*100</f>
        <v>0</v>
      </c>
      <c r="H27" s="811"/>
      <c r="I27" s="811"/>
      <c r="J27" s="811"/>
      <c r="K27" s="811"/>
      <c r="L27" s="811"/>
      <c r="M27" s="811"/>
      <c r="N27" s="806">
        <v>1</v>
      </c>
      <c r="O27" s="808" t="s">
        <v>1017</v>
      </c>
      <c r="P27" s="960">
        <v>0</v>
      </c>
      <c r="Q27" s="622">
        <v>0</v>
      </c>
      <c r="R27" s="622">
        <v>0</v>
      </c>
      <c r="S27" s="687">
        <v>0</v>
      </c>
      <c r="T27" s="1422">
        <v>0</v>
      </c>
      <c r="U27" s="806">
        <f>C27</f>
        <v>11.336529999999948</v>
      </c>
      <c r="V27" s="622">
        <f t="shared" ref="V27:V28" si="9">D27</f>
        <v>0</v>
      </c>
      <c r="W27" s="899">
        <f t="shared" ref="W27:W28" si="10">E27</f>
        <v>19.306949999999961</v>
      </c>
    </row>
    <row r="28" spans="1:23" ht="31.5">
      <c r="A28" s="648">
        <v>2</v>
      </c>
      <c r="B28" s="951" t="s">
        <v>1330</v>
      </c>
      <c r="C28" s="960">
        <f>'Form 1'!H33</f>
        <v>3.8049352000000005</v>
      </c>
      <c r="D28" s="622">
        <f>'Form 1'!I33</f>
        <v>1.8161856000000001</v>
      </c>
      <c r="E28" s="622">
        <f>'Form 1'!J33</f>
        <v>2.3151700000000002</v>
      </c>
      <c r="F28" s="622">
        <f>'Form 1'!K33*100</f>
        <v>0</v>
      </c>
      <c r="G28" s="899">
        <f>'Form 1'!L33*100</f>
        <v>0</v>
      </c>
      <c r="H28" s="811"/>
      <c r="I28" s="811"/>
      <c r="J28" s="811"/>
      <c r="K28" s="811"/>
      <c r="L28" s="811"/>
      <c r="M28" s="811"/>
      <c r="N28" s="806">
        <v>2</v>
      </c>
      <c r="O28" s="808" t="s">
        <v>1330</v>
      </c>
      <c r="P28" s="960">
        <v>0</v>
      </c>
      <c r="Q28" s="622">
        <v>0</v>
      </c>
      <c r="R28" s="622">
        <v>0</v>
      </c>
      <c r="S28" s="687">
        <v>0</v>
      </c>
      <c r="T28" s="1422">
        <v>0</v>
      </c>
      <c r="U28" s="806">
        <f>C28</f>
        <v>3.8049352000000005</v>
      </c>
      <c r="V28" s="622">
        <f t="shared" si="9"/>
        <v>1.8161856000000001</v>
      </c>
      <c r="W28" s="899">
        <f t="shared" si="10"/>
        <v>2.3151700000000002</v>
      </c>
    </row>
    <row r="29" spans="1:23">
      <c r="A29" s="649"/>
      <c r="B29" s="951" t="s">
        <v>1077</v>
      </c>
      <c r="C29" s="963">
        <f>C27+C28</f>
        <v>15.141465199999949</v>
      </c>
      <c r="D29" s="624">
        <f t="shared" ref="D29:G29" si="11">D27+D28</f>
        <v>1.8161856000000001</v>
      </c>
      <c r="E29" s="624">
        <f t="shared" si="11"/>
        <v>21.62211999999996</v>
      </c>
      <c r="F29" s="624">
        <f t="shared" si="11"/>
        <v>0</v>
      </c>
      <c r="G29" s="907">
        <f t="shared" si="11"/>
        <v>0</v>
      </c>
      <c r="H29" s="811"/>
      <c r="I29" s="811"/>
      <c r="J29" s="811"/>
      <c r="K29" s="811"/>
      <c r="L29" s="811"/>
      <c r="M29" s="811"/>
      <c r="N29" s="812"/>
      <c r="O29" s="810" t="s">
        <v>1077</v>
      </c>
      <c r="P29" s="963">
        <f>P27+P28</f>
        <v>0</v>
      </c>
      <c r="Q29" s="624">
        <f t="shared" ref="Q29:R29" si="12">Q27+Q28</f>
        <v>0</v>
      </c>
      <c r="R29" s="624">
        <f t="shared" si="12"/>
        <v>0</v>
      </c>
      <c r="S29" s="687">
        <v>0</v>
      </c>
      <c r="T29" s="1422">
        <v>0</v>
      </c>
      <c r="U29" s="819">
        <f>U27+U28</f>
        <v>15.141465199999949</v>
      </c>
      <c r="V29" s="624">
        <f t="shared" ref="V29" si="13">V27+V28</f>
        <v>1.8161856000000001</v>
      </c>
      <c r="W29" s="907">
        <f t="shared" ref="W29" si="14">W27+W28</f>
        <v>21.62211999999996</v>
      </c>
    </row>
    <row r="30" spans="1:23">
      <c r="A30" s="649"/>
      <c r="B30" s="951"/>
      <c r="C30" s="963"/>
      <c r="D30" s="624"/>
      <c r="E30" s="624"/>
      <c r="F30" s="624"/>
      <c r="G30" s="907"/>
      <c r="H30" s="811"/>
      <c r="I30" s="811"/>
      <c r="J30" s="811"/>
      <c r="K30" s="811"/>
      <c r="L30" s="811"/>
      <c r="M30" s="811"/>
      <c r="N30" s="812"/>
      <c r="O30" s="810"/>
      <c r="P30" s="963"/>
      <c r="Q30" s="624"/>
      <c r="R30" s="624"/>
      <c r="S30" s="624"/>
      <c r="T30" s="1640"/>
      <c r="U30" s="806"/>
      <c r="V30" s="687"/>
      <c r="W30" s="900"/>
    </row>
    <row r="31" spans="1:23" ht="31.5">
      <c r="A31" s="649" t="s">
        <v>980</v>
      </c>
      <c r="B31" s="951" t="s">
        <v>1067</v>
      </c>
      <c r="C31" s="962">
        <f>C17+C22+C24+C29</f>
        <v>4085.7133023224815</v>
      </c>
      <c r="D31" s="687">
        <f t="shared" ref="D31:G31" si="15">D17+D22+D24+D29</f>
        <v>3475.7948499363492</v>
      </c>
      <c r="E31" s="687">
        <f t="shared" si="15"/>
        <v>4001.9234576161825</v>
      </c>
      <c r="F31" s="687">
        <f t="shared" si="15"/>
        <v>424919.36459381698</v>
      </c>
      <c r="G31" s="900">
        <f t="shared" si="15"/>
        <v>429808.73536394211</v>
      </c>
      <c r="H31" s="811"/>
      <c r="I31" s="811"/>
      <c r="J31" s="811"/>
      <c r="K31" s="811"/>
      <c r="L31" s="811"/>
      <c r="M31" s="811"/>
      <c r="N31" s="812" t="s">
        <v>980</v>
      </c>
      <c r="O31" s="810" t="s">
        <v>1067</v>
      </c>
      <c r="P31" s="962">
        <f>P17+P22+P24+P29</f>
        <v>3996.2743711000003</v>
      </c>
      <c r="Q31" s="687">
        <f t="shared" ref="Q31:T31" si="16">Q17+Q22+Q24+Q29</f>
        <v>3283.8342324079999</v>
      </c>
      <c r="R31" s="687">
        <f t="shared" si="16"/>
        <v>3874.6028099999994</v>
      </c>
      <c r="S31" s="687">
        <f t="shared" si="16"/>
        <v>402230.40530466038</v>
      </c>
      <c r="T31" s="1422">
        <f t="shared" si="16"/>
        <v>400296.81576514238</v>
      </c>
      <c r="U31" s="1641">
        <f>U17+U22+U24+U29</f>
        <v>77.718066050139527</v>
      </c>
      <c r="V31" s="687">
        <f>V17+V22+V24+V29</f>
        <v>196.80276250500432</v>
      </c>
      <c r="W31" s="1642">
        <f>W17+W22+W24+W29</f>
        <v>130.59114546929328</v>
      </c>
    </row>
    <row r="32" spans="1:23">
      <c r="A32" s="641"/>
      <c r="B32" s="950"/>
      <c r="C32" s="961"/>
      <c r="D32" s="623"/>
      <c r="E32" s="623"/>
      <c r="F32" s="623"/>
      <c r="G32" s="904"/>
      <c r="H32" s="811"/>
      <c r="I32" s="811"/>
      <c r="J32" s="811"/>
      <c r="K32" s="811"/>
      <c r="L32" s="811"/>
      <c r="M32" s="811"/>
      <c r="N32" s="811"/>
      <c r="O32" s="811"/>
      <c r="P32" s="967"/>
      <c r="Q32" s="811"/>
      <c r="R32" s="811"/>
      <c r="S32" s="811"/>
      <c r="T32" s="811"/>
      <c r="U32" s="967"/>
      <c r="V32" s="811"/>
      <c r="W32" s="903"/>
    </row>
    <row r="33" spans="1:23">
      <c r="A33" s="648" t="s">
        <v>981</v>
      </c>
      <c r="B33" s="951" t="s">
        <v>1021</v>
      </c>
      <c r="C33" s="961"/>
      <c r="D33" s="623"/>
      <c r="E33" s="623"/>
      <c r="F33" s="623"/>
      <c r="G33" s="904"/>
      <c r="H33" s="811"/>
      <c r="I33" s="811"/>
      <c r="J33" s="811"/>
      <c r="K33" s="811"/>
      <c r="L33" s="811"/>
      <c r="M33" s="811"/>
      <c r="N33" s="774" t="s">
        <v>981</v>
      </c>
      <c r="O33" s="810" t="s">
        <v>1021</v>
      </c>
      <c r="P33" s="961"/>
      <c r="Q33" s="623"/>
      <c r="R33" s="623"/>
      <c r="S33" s="796"/>
      <c r="T33" s="1639"/>
      <c r="U33" s="806"/>
      <c r="V33" s="814"/>
      <c r="W33" s="904"/>
    </row>
    <row r="34" spans="1:23" hidden="1">
      <c r="A34" s="648">
        <v>1</v>
      </c>
      <c r="B34" s="953" t="s">
        <v>1022</v>
      </c>
      <c r="C34" s="961">
        <v>0</v>
      </c>
      <c r="D34" s="623">
        <f>0.719776545*100</f>
        <v>71.9776545</v>
      </c>
      <c r="E34" s="623">
        <f>4.975045818*100</f>
        <v>497.50458179999998</v>
      </c>
      <c r="F34" s="623">
        <f>AVERAGE(C34:E34)</f>
        <v>189.82741209999998</v>
      </c>
      <c r="G34" s="904">
        <f>F34</f>
        <v>189.82741209999998</v>
      </c>
      <c r="H34" s="811"/>
      <c r="I34" s="811"/>
      <c r="J34" s="811"/>
      <c r="K34" s="811"/>
      <c r="L34" s="811"/>
      <c r="M34" s="811"/>
      <c r="N34" s="815"/>
      <c r="O34" s="816"/>
      <c r="P34" s="809"/>
      <c r="Q34" s="815"/>
      <c r="R34" s="815"/>
      <c r="S34" s="811"/>
      <c r="T34" s="811"/>
      <c r="U34" s="809"/>
      <c r="V34" s="815"/>
      <c r="W34" s="905"/>
    </row>
    <row r="35" spans="1:23" hidden="1">
      <c r="A35" s="648">
        <v>2</v>
      </c>
      <c r="B35" s="953" t="s">
        <v>1023</v>
      </c>
      <c r="C35" s="961">
        <v>0</v>
      </c>
      <c r="D35" s="623">
        <v>0</v>
      </c>
      <c r="E35" s="623">
        <v>0</v>
      </c>
      <c r="F35" s="623">
        <f t="shared" ref="F35:F45" si="17">AVERAGE(C35:E35)</f>
        <v>0</v>
      </c>
      <c r="G35" s="904">
        <f t="shared" ref="G35:G45" si="18">F35</f>
        <v>0</v>
      </c>
      <c r="H35" s="811"/>
      <c r="I35" s="811"/>
      <c r="J35" s="811"/>
      <c r="K35" s="811"/>
      <c r="L35" s="811"/>
      <c r="M35" s="811"/>
      <c r="N35" s="815"/>
      <c r="O35" s="816"/>
      <c r="P35" s="809"/>
      <c r="Q35" s="815"/>
      <c r="R35" s="815"/>
      <c r="S35" s="811"/>
      <c r="T35" s="811"/>
      <c r="U35" s="809"/>
      <c r="V35" s="815"/>
      <c r="W35" s="905"/>
    </row>
    <row r="36" spans="1:23" hidden="1">
      <c r="A36" s="648">
        <v>3</v>
      </c>
      <c r="B36" s="953" t="s">
        <v>1024</v>
      </c>
      <c r="C36" s="961">
        <f>0.211421*100</f>
        <v>21.142099999999999</v>
      </c>
      <c r="D36" s="623">
        <f>0.1499786*100</f>
        <v>14.997859999999999</v>
      </c>
      <c r="E36" s="623">
        <f>0.081283725*100</f>
        <v>8.1283724999999993</v>
      </c>
      <c r="F36" s="623">
        <f t="shared" si="17"/>
        <v>14.756110833333333</v>
      </c>
      <c r="G36" s="904">
        <f t="shared" si="18"/>
        <v>14.756110833333333</v>
      </c>
      <c r="H36" s="811"/>
      <c r="I36" s="811"/>
      <c r="J36" s="811"/>
      <c r="K36" s="811"/>
      <c r="L36" s="811"/>
      <c r="M36" s="811"/>
      <c r="N36" s="815"/>
      <c r="O36" s="816"/>
      <c r="P36" s="809"/>
      <c r="Q36" s="815"/>
      <c r="R36" s="815"/>
      <c r="S36" s="811"/>
      <c r="T36" s="811"/>
      <c r="U36" s="809"/>
      <c r="V36" s="815"/>
      <c r="W36" s="905"/>
    </row>
    <row r="37" spans="1:23" hidden="1">
      <c r="A37" s="648">
        <v>4</v>
      </c>
      <c r="B37" s="953" t="s">
        <v>1025</v>
      </c>
      <c r="C37" s="961">
        <f>0.011778*100</f>
        <v>1.1778</v>
      </c>
      <c r="D37" s="623">
        <f>0.0129515*100</f>
        <v>1.29515</v>
      </c>
      <c r="E37" s="623">
        <f>0.0174776*100</f>
        <v>1.74776</v>
      </c>
      <c r="F37" s="623">
        <f t="shared" si="17"/>
        <v>1.4069033333333334</v>
      </c>
      <c r="G37" s="904">
        <f t="shared" si="18"/>
        <v>1.4069033333333334</v>
      </c>
      <c r="H37" s="811"/>
      <c r="I37" s="811"/>
      <c r="J37" s="811"/>
      <c r="K37" s="811"/>
      <c r="L37" s="811"/>
      <c r="M37" s="811"/>
      <c r="N37" s="815"/>
      <c r="O37" s="816"/>
      <c r="P37" s="809"/>
      <c r="Q37" s="815"/>
      <c r="R37" s="815"/>
      <c r="S37" s="811"/>
      <c r="T37" s="811"/>
      <c r="U37" s="809"/>
      <c r="V37" s="815"/>
      <c r="W37" s="905"/>
    </row>
    <row r="38" spans="1:23" hidden="1">
      <c r="A38" s="648">
        <v>5</v>
      </c>
      <c r="B38" s="953" t="s">
        <v>1026</v>
      </c>
      <c r="C38" s="961">
        <f>0.6462399*100</f>
        <v>64.623989999999992</v>
      </c>
      <c r="D38" s="623">
        <f>0.9264863*100</f>
        <v>92.648629999999997</v>
      </c>
      <c r="E38" s="623">
        <f>0.699255927*100</f>
        <v>69.92559270000001</v>
      </c>
      <c r="F38" s="623">
        <f t="shared" si="17"/>
        <v>75.732737566666671</v>
      </c>
      <c r="G38" s="904">
        <f t="shared" si="18"/>
        <v>75.732737566666671</v>
      </c>
      <c r="H38" s="811"/>
      <c r="I38" s="811"/>
      <c r="J38" s="811"/>
      <c r="K38" s="811"/>
      <c r="L38" s="811"/>
      <c r="M38" s="811"/>
      <c r="N38" s="815"/>
      <c r="O38" s="816"/>
      <c r="P38" s="809"/>
      <c r="Q38" s="815"/>
      <c r="R38" s="815"/>
      <c r="S38" s="811"/>
      <c r="T38" s="811"/>
      <c r="U38" s="809"/>
      <c r="V38" s="815"/>
      <c r="W38" s="905"/>
    </row>
    <row r="39" spans="1:23" hidden="1">
      <c r="A39" s="648">
        <v>6</v>
      </c>
      <c r="B39" s="953" t="s">
        <v>1027</v>
      </c>
      <c r="C39" s="961">
        <v>0</v>
      </c>
      <c r="D39" s="623">
        <v>0</v>
      </c>
      <c r="E39" s="623">
        <v>0</v>
      </c>
      <c r="F39" s="623">
        <f t="shared" si="17"/>
        <v>0</v>
      </c>
      <c r="G39" s="904">
        <f t="shared" si="18"/>
        <v>0</v>
      </c>
      <c r="H39" s="811"/>
      <c r="I39" s="811"/>
      <c r="J39" s="811"/>
      <c r="K39" s="811"/>
      <c r="L39" s="811"/>
      <c r="M39" s="811"/>
      <c r="N39" s="815"/>
      <c r="O39" s="816"/>
      <c r="P39" s="809"/>
      <c r="Q39" s="815"/>
      <c r="R39" s="815"/>
      <c r="S39" s="811"/>
      <c r="T39" s="811"/>
      <c r="U39" s="809"/>
      <c r="V39" s="815"/>
      <c r="W39" s="905"/>
    </row>
    <row r="40" spans="1:23" hidden="1">
      <c r="A40" s="648">
        <v>7</v>
      </c>
      <c r="B40" s="954" t="s">
        <v>1028</v>
      </c>
      <c r="C40" s="961">
        <v>0</v>
      </c>
      <c r="D40" s="623">
        <v>0</v>
      </c>
      <c r="E40" s="623">
        <v>0</v>
      </c>
      <c r="F40" s="623">
        <f t="shared" si="17"/>
        <v>0</v>
      </c>
      <c r="G40" s="904">
        <f t="shared" si="18"/>
        <v>0</v>
      </c>
      <c r="H40" s="811"/>
      <c r="I40" s="811"/>
      <c r="J40" s="811"/>
      <c r="K40" s="811"/>
      <c r="L40" s="811"/>
      <c r="M40" s="811"/>
      <c r="N40" s="815"/>
      <c r="O40" s="816"/>
      <c r="P40" s="809"/>
      <c r="Q40" s="815"/>
      <c r="R40" s="815"/>
      <c r="S40" s="811"/>
      <c r="T40" s="811"/>
      <c r="U40" s="809"/>
      <c r="V40" s="815"/>
      <c r="W40" s="905"/>
    </row>
    <row r="41" spans="1:23" hidden="1">
      <c r="A41" s="648">
        <v>8</v>
      </c>
      <c r="B41" s="953" t="s">
        <v>1265</v>
      </c>
      <c r="C41" s="961">
        <v>0</v>
      </c>
      <c r="D41" s="623">
        <f>3.061732*100</f>
        <v>306.17320000000001</v>
      </c>
      <c r="E41" s="623">
        <v>0</v>
      </c>
      <c r="F41" s="623">
        <f t="shared" si="17"/>
        <v>102.05773333333333</v>
      </c>
      <c r="G41" s="904">
        <f t="shared" si="18"/>
        <v>102.05773333333333</v>
      </c>
      <c r="H41" s="811"/>
      <c r="I41" s="811"/>
      <c r="J41" s="811"/>
      <c r="K41" s="811"/>
      <c r="L41" s="811"/>
      <c r="M41" s="811"/>
      <c r="N41" s="815"/>
      <c r="O41" s="816"/>
      <c r="P41" s="809"/>
      <c r="Q41" s="815"/>
      <c r="R41" s="815"/>
      <c r="S41" s="811"/>
      <c r="T41" s="811"/>
      <c r="U41" s="809"/>
      <c r="V41" s="815"/>
      <c r="W41" s="905"/>
    </row>
    <row r="42" spans="1:23" hidden="1">
      <c r="A42" s="648">
        <v>9</v>
      </c>
      <c r="B42" s="953" t="s">
        <v>1266</v>
      </c>
      <c r="C42" s="961">
        <v>0</v>
      </c>
      <c r="D42" s="623">
        <v>0</v>
      </c>
      <c r="E42" s="623">
        <v>0</v>
      </c>
      <c r="F42" s="623">
        <f t="shared" si="17"/>
        <v>0</v>
      </c>
      <c r="G42" s="904">
        <f t="shared" si="18"/>
        <v>0</v>
      </c>
      <c r="H42" s="811"/>
      <c r="I42" s="811"/>
      <c r="J42" s="811"/>
      <c r="K42" s="811"/>
      <c r="L42" s="811"/>
      <c r="M42" s="811"/>
      <c r="N42" s="815"/>
      <c r="O42" s="816"/>
      <c r="P42" s="809"/>
      <c r="Q42" s="815"/>
      <c r="R42" s="815"/>
      <c r="S42" s="811"/>
      <c r="T42" s="811"/>
      <c r="U42" s="809"/>
      <c r="V42" s="815"/>
      <c r="W42" s="905"/>
    </row>
    <row r="43" spans="1:23" hidden="1">
      <c r="A43" s="648">
        <v>10</v>
      </c>
      <c r="B43" s="955" t="s">
        <v>1029</v>
      </c>
      <c r="C43" s="961">
        <f>0.159126488*100</f>
        <v>15.912648800000001</v>
      </c>
      <c r="D43" s="623">
        <f>0.08482065*100</f>
        <v>8.4820650000000004</v>
      </c>
      <c r="E43" s="623">
        <f>0.190147014000004*100</f>
        <v>19.014701400000401</v>
      </c>
      <c r="F43" s="623">
        <f t="shared" si="17"/>
        <v>14.469805066666801</v>
      </c>
      <c r="G43" s="904">
        <f t="shared" si="18"/>
        <v>14.469805066666801</v>
      </c>
      <c r="H43" s="811"/>
      <c r="I43" s="811"/>
      <c r="J43" s="811"/>
      <c r="K43" s="811"/>
      <c r="L43" s="811"/>
      <c r="M43" s="811"/>
      <c r="N43" s="815"/>
      <c r="O43" s="816"/>
      <c r="P43" s="809"/>
      <c r="Q43" s="815"/>
      <c r="R43" s="815"/>
      <c r="S43" s="811"/>
      <c r="T43" s="811"/>
      <c r="U43" s="809"/>
      <c r="V43" s="815"/>
      <c r="W43" s="905"/>
    </row>
    <row r="44" spans="1:23" hidden="1">
      <c r="A44" s="648">
        <v>11</v>
      </c>
      <c r="B44" s="955" t="s">
        <v>1030</v>
      </c>
      <c r="C44" s="961">
        <f>0.262183359*100</f>
        <v>26.2183359</v>
      </c>
      <c r="D44" s="623">
        <f>0.227405286*100</f>
        <v>22.740528600000001</v>
      </c>
      <c r="E44" s="623">
        <f>0.256722808*100</f>
        <v>25.672280800000003</v>
      </c>
      <c r="F44" s="623">
        <f t="shared" si="17"/>
        <v>24.877048433333339</v>
      </c>
      <c r="G44" s="904">
        <f t="shared" si="18"/>
        <v>24.877048433333339</v>
      </c>
      <c r="H44" s="811"/>
      <c r="I44" s="811"/>
      <c r="J44" s="811"/>
      <c r="K44" s="811"/>
      <c r="L44" s="811"/>
      <c r="M44" s="811"/>
      <c r="N44" s="815"/>
      <c r="O44" s="816"/>
      <c r="P44" s="809"/>
      <c r="Q44" s="815"/>
      <c r="R44" s="815"/>
      <c r="S44" s="811"/>
      <c r="T44" s="811"/>
      <c r="U44" s="809"/>
      <c r="V44" s="815"/>
      <c r="W44" s="905"/>
    </row>
    <row r="45" spans="1:23" hidden="1">
      <c r="A45" s="648">
        <v>12</v>
      </c>
      <c r="B45" s="955" t="s">
        <v>1267</v>
      </c>
      <c r="C45" s="961">
        <f>0.806943049*100</f>
        <v>80.694304900000006</v>
      </c>
      <c r="D45" s="623">
        <f>0.545609288*100</f>
        <v>54.560928799999999</v>
      </c>
      <c r="E45" s="623">
        <f>0.991258881*100</f>
        <v>99.125888099999997</v>
      </c>
      <c r="F45" s="623">
        <f t="shared" si="17"/>
        <v>78.127040600000001</v>
      </c>
      <c r="G45" s="904">
        <f t="shared" si="18"/>
        <v>78.127040600000001</v>
      </c>
      <c r="H45" s="811"/>
      <c r="I45" s="811"/>
      <c r="J45" s="811"/>
      <c r="K45" s="811"/>
      <c r="L45" s="811"/>
      <c r="M45" s="811"/>
      <c r="N45" s="815"/>
      <c r="O45" s="816"/>
      <c r="P45" s="809"/>
      <c r="Q45" s="815"/>
      <c r="R45" s="815"/>
      <c r="S45" s="811"/>
      <c r="T45" s="811"/>
      <c r="U45" s="809"/>
      <c r="V45" s="815"/>
      <c r="W45" s="905"/>
    </row>
    <row r="46" spans="1:23">
      <c r="A46" s="648"/>
      <c r="B46" s="906" t="s">
        <v>1331</v>
      </c>
      <c r="C46" s="963">
        <f>SUM(C34:C45)/100</f>
        <v>2.0976917960000003</v>
      </c>
      <c r="D46" s="624">
        <f>SUM(D34:D45)/100</f>
        <v>5.7287601690000001</v>
      </c>
      <c r="E46" s="624">
        <f>SUM(E34:E45)/100</f>
        <v>7.2111917730000039</v>
      </c>
      <c r="F46" s="624">
        <f t="shared" ref="F46:G46" si="19">SUM(F34:F45)</f>
        <v>501.25479126666681</v>
      </c>
      <c r="G46" s="907">
        <f t="shared" si="19"/>
        <v>501.25479126666681</v>
      </c>
      <c r="H46" s="811"/>
      <c r="I46" s="811"/>
      <c r="J46" s="811"/>
      <c r="K46" s="811"/>
      <c r="L46" s="811"/>
      <c r="M46" s="811"/>
      <c r="N46" s="815"/>
      <c r="O46" s="817" t="s">
        <v>1331</v>
      </c>
      <c r="P46" s="1637">
        <v>17.920000000000002</v>
      </c>
      <c r="Q46" s="624">
        <v>17.920000000000002</v>
      </c>
      <c r="R46" s="797">
        <v>17.920000000000002</v>
      </c>
      <c r="S46" s="797">
        <v>1792</v>
      </c>
      <c r="T46" s="1640">
        <v>1792</v>
      </c>
      <c r="U46" s="819">
        <f>C46-P46</f>
        <v>-15.822308204000002</v>
      </c>
      <c r="V46" s="781">
        <f t="shared" ref="V46:W46" si="20">D46-Q46</f>
        <v>-12.191239831000001</v>
      </c>
      <c r="W46" s="900">
        <f t="shared" si="20"/>
        <v>-10.708808226999999</v>
      </c>
    </row>
    <row r="47" spans="1:23">
      <c r="A47" s="641"/>
      <c r="B47" s="950"/>
      <c r="C47" s="961"/>
      <c r="D47" s="623"/>
      <c r="E47" s="623"/>
      <c r="F47" s="623"/>
      <c r="G47" s="904"/>
      <c r="H47" s="811"/>
      <c r="I47" s="811"/>
      <c r="J47" s="811"/>
      <c r="K47" s="811"/>
      <c r="L47" s="811"/>
      <c r="M47" s="811"/>
      <c r="N47" s="811"/>
      <c r="O47" s="811"/>
      <c r="P47" s="967"/>
      <c r="Q47" s="811"/>
      <c r="R47" s="811"/>
      <c r="S47" s="811"/>
      <c r="T47" s="811"/>
      <c r="U47" s="967"/>
      <c r="V47" s="811"/>
      <c r="W47" s="903"/>
    </row>
    <row r="48" spans="1:23" ht="47.25">
      <c r="A48" s="782" t="s">
        <v>982</v>
      </c>
      <c r="B48" s="956" t="s">
        <v>1085</v>
      </c>
      <c r="C48" s="962">
        <f>C31-C46</f>
        <v>4083.6156105264813</v>
      </c>
      <c r="D48" s="687">
        <f>D31-D46</f>
        <v>3470.0660897673492</v>
      </c>
      <c r="E48" s="687">
        <f>E31-E46</f>
        <v>3994.7122658431826</v>
      </c>
      <c r="F48" s="687">
        <f>F31-F46</f>
        <v>424418.10980255029</v>
      </c>
      <c r="G48" s="900">
        <f>G31-G46</f>
        <v>429307.48057267541</v>
      </c>
      <c r="H48" s="902"/>
      <c r="I48" s="902">
        <f>D48/C48</f>
        <v>0.84975336092418596</v>
      </c>
      <c r="J48" s="902">
        <f t="shared" ref="J48:M48" si="21">E48/D48</f>
        <v>1.1511919838134865</v>
      </c>
      <c r="K48" s="902">
        <f t="shared" si="21"/>
        <v>106.24497624811193</v>
      </c>
      <c r="L48" s="902">
        <f t="shared" si="21"/>
        <v>1.0115201746984825</v>
      </c>
      <c r="M48" s="902">
        <f t="shared" si="21"/>
        <v>0</v>
      </c>
      <c r="N48" s="819" t="s">
        <v>982</v>
      </c>
      <c r="O48" s="820" t="s">
        <v>1085</v>
      </c>
      <c r="P48" s="962">
        <f t="shared" ref="P48:W48" si="22">P31-P46</f>
        <v>3978.3543711000002</v>
      </c>
      <c r="Q48" s="687">
        <f t="shared" si="22"/>
        <v>3265.9142324079999</v>
      </c>
      <c r="R48" s="687">
        <f t="shared" si="22"/>
        <v>3856.6828099999993</v>
      </c>
      <c r="S48" s="687">
        <f t="shared" si="22"/>
        <v>400438.40530466038</v>
      </c>
      <c r="T48" s="1422">
        <f t="shared" si="22"/>
        <v>398504.81576514238</v>
      </c>
      <c r="U48" s="819">
        <f t="shared" si="22"/>
        <v>93.540374254139522</v>
      </c>
      <c r="V48" s="687">
        <f t="shared" si="22"/>
        <v>208.99400233600431</v>
      </c>
      <c r="W48" s="900">
        <f t="shared" si="22"/>
        <v>141.29995369629327</v>
      </c>
    </row>
    <row r="49" spans="1:25">
      <c r="A49" s="782" t="s">
        <v>983</v>
      </c>
      <c r="B49" s="951" t="s">
        <v>1051</v>
      </c>
      <c r="C49" s="960">
        <f>'FUEL COST'!F17</f>
        <v>8671.2289999999994</v>
      </c>
      <c r="D49" s="622">
        <f>'FUEL COST'!G17</f>
        <v>6895.3293599999997</v>
      </c>
      <c r="E49" s="622">
        <f>'FUEL COST'!H17</f>
        <v>8807.5649999999987</v>
      </c>
      <c r="F49" s="622">
        <f>'FUEL COST'!I17</f>
        <v>8421.4259999999995</v>
      </c>
      <c r="G49" s="899">
        <f>'FUEL COST'!J17</f>
        <v>8444.4984000000004</v>
      </c>
      <c r="H49" s="811"/>
      <c r="I49" s="811"/>
      <c r="J49" s="811"/>
      <c r="K49" s="811"/>
      <c r="L49" s="811"/>
      <c r="M49" s="811"/>
      <c r="N49" s="806" t="s">
        <v>983</v>
      </c>
      <c r="O49" s="808" t="s">
        <v>1051</v>
      </c>
      <c r="P49" s="960">
        <v>8671.2289999999994</v>
      </c>
      <c r="Q49" s="622">
        <v>6895.3293599999997</v>
      </c>
      <c r="R49" s="622">
        <v>8807.5649999999987</v>
      </c>
      <c r="S49" s="622">
        <v>8421.4259999999995</v>
      </c>
      <c r="T49" s="1423">
        <v>8444.4984000000004</v>
      </c>
      <c r="U49" s="960">
        <v>8671.2289999999994</v>
      </c>
      <c r="V49" s="622">
        <v>6895.3293599999997</v>
      </c>
      <c r="W49" s="899">
        <v>8807.5649999999987</v>
      </c>
    </row>
    <row r="50" spans="1:25" ht="32.25" thickBot="1">
      <c r="A50" s="782" t="s">
        <v>984</v>
      </c>
      <c r="B50" s="951" t="s">
        <v>1078</v>
      </c>
      <c r="C50" s="1638">
        <f>C48/(C49*10)*100</f>
        <v>4.7093850370304846</v>
      </c>
      <c r="D50" s="965">
        <f t="shared" ref="D50:E50" si="23">D48/(D49*10)*100</f>
        <v>5.0324878023917181</v>
      </c>
      <c r="E50" s="1632">
        <f t="shared" si="23"/>
        <v>4.5355467326590073</v>
      </c>
      <c r="F50" s="965">
        <f t="shared" ref="F50:G50" si="24">F48/(F49*10)</f>
        <v>5.0397416043619012</v>
      </c>
      <c r="G50" s="966">
        <f t="shared" si="24"/>
        <v>5.0838718919370676</v>
      </c>
      <c r="H50" s="811"/>
      <c r="I50" s="811"/>
      <c r="J50" s="811"/>
      <c r="K50" s="811"/>
      <c r="L50" s="811"/>
      <c r="M50" s="811"/>
      <c r="N50" s="819" t="s">
        <v>984</v>
      </c>
      <c r="O50" s="810" t="s">
        <v>1078</v>
      </c>
      <c r="P50" s="1638">
        <f>P48/(P49*10)*100</f>
        <v>4.5879936639892689</v>
      </c>
      <c r="Q50" s="965">
        <f t="shared" ref="Q50:T50" si="25">Q48/(Q49*10)*100</f>
        <v>4.7364151324716417</v>
      </c>
      <c r="R50" s="1632">
        <f t="shared" si="25"/>
        <v>4.3788298014263871</v>
      </c>
      <c r="S50" s="964">
        <f t="shared" si="25"/>
        <v>475.49952383914604</v>
      </c>
      <c r="T50" s="1638">
        <f t="shared" si="25"/>
        <v>471.91058235636876</v>
      </c>
      <c r="U50" s="1638">
        <f>U48/(U49*10)*100</f>
        <v>0.10787441348180232</v>
      </c>
      <c r="V50" s="965">
        <f t="shared" ref="V50:W50" si="26">V48/(V49*10)*100</f>
        <v>0.30309502479806749</v>
      </c>
      <c r="W50" s="1643">
        <f t="shared" si="26"/>
        <v>0.16043021390849035</v>
      </c>
    </row>
    <row r="51" spans="1:25" ht="117" hidden="1" customHeight="1">
      <c r="A51" s="1738" t="s">
        <v>1086</v>
      </c>
      <c r="B51" s="1739"/>
      <c r="C51" s="1739"/>
      <c r="D51" s="1739"/>
      <c r="E51" s="1739"/>
      <c r="F51" s="1739"/>
      <c r="G51" s="1740"/>
      <c r="H51" s="777"/>
      <c r="I51" s="777"/>
      <c r="J51" s="777"/>
      <c r="K51" s="777"/>
      <c r="L51" s="777"/>
      <c r="M51" s="777"/>
      <c r="N51" s="777"/>
      <c r="O51" s="777"/>
      <c r="P51" s="777"/>
      <c r="Q51" s="777"/>
      <c r="R51" s="777"/>
      <c r="S51" s="777"/>
      <c r="T51" s="777"/>
      <c r="U51" s="777"/>
      <c r="V51" s="777"/>
      <c r="W51" s="637"/>
    </row>
    <row r="52" spans="1:25">
      <c r="A52" s="636"/>
      <c r="B52" s="908"/>
      <c r="C52" s="908"/>
      <c r="D52" s="908"/>
      <c r="E52" s="908"/>
      <c r="F52" s="908"/>
      <c r="G52" s="650"/>
      <c r="H52" s="777"/>
      <c r="I52" s="777"/>
      <c r="J52" s="777"/>
      <c r="K52" s="777"/>
      <c r="L52" s="777"/>
      <c r="M52" s="777"/>
      <c r="N52" s="777"/>
      <c r="O52" s="777"/>
      <c r="P52" s="777"/>
      <c r="Q52" s="777"/>
      <c r="R52" s="777"/>
      <c r="S52" s="777"/>
      <c r="T52" s="777"/>
      <c r="U52" s="777"/>
      <c r="V52" s="777"/>
      <c r="W52" s="637"/>
    </row>
    <row r="53" spans="1:25" ht="60" customHeight="1">
      <c r="A53" s="1723" t="s">
        <v>1524</v>
      </c>
      <c r="B53" s="1724"/>
      <c r="C53" s="1724"/>
      <c r="D53" s="1724"/>
      <c r="E53" s="1724"/>
      <c r="F53" s="1724"/>
      <c r="G53" s="1724"/>
      <c r="H53" s="1724"/>
      <c r="I53" s="1724"/>
      <c r="J53" s="1724"/>
      <c r="K53" s="1724"/>
      <c r="L53" s="1724"/>
      <c r="M53" s="1724"/>
      <c r="N53" s="1724"/>
      <c r="O53" s="1724"/>
      <c r="P53" s="1724"/>
      <c r="Q53" s="1724"/>
      <c r="R53" s="1724"/>
      <c r="S53" s="1724"/>
      <c r="T53" s="1724"/>
      <c r="U53" s="1724"/>
      <c r="V53" s="1724"/>
      <c r="W53" s="1743"/>
      <c r="X53" s="1707"/>
      <c r="Y53" s="1708"/>
    </row>
    <row r="54" spans="1:25" ht="16.5" thickBot="1">
      <c r="A54" s="644"/>
      <c r="B54" s="909"/>
      <c r="C54" s="909"/>
      <c r="D54" s="909"/>
      <c r="E54" s="909"/>
      <c r="F54" s="909"/>
      <c r="G54" s="910"/>
      <c r="H54" s="645"/>
      <c r="I54" s="645"/>
      <c r="J54" s="645"/>
      <c r="K54" s="645"/>
      <c r="L54" s="645"/>
      <c r="M54" s="645"/>
      <c r="N54" s="645"/>
      <c r="O54" s="645"/>
      <c r="P54" s="645"/>
      <c r="Q54" s="645"/>
      <c r="R54" s="645"/>
      <c r="S54" s="645"/>
      <c r="T54" s="645"/>
      <c r="U54" s="1742" t="s">
        <v>700</v>
      </c>
      <c r="V54" s="1742"/>
      <c r="W54" s="646"/>
    </row>
    <row r="55" spans="1:25">
      <c r="A55" s="636"/>
      <c r="B55" s="612"/>
      <c r="C55" s="612"/>
      <c r="D55" s="612"/>
      <c r="E55" s="612"/>
      <c r="F55" s="612"/>
      <c r="G55" s="650"/>
      <c r="P55" s="693"/>
    </row>
    <row r="56" spans="1:25">
      <c r="A56" s="636"/>
      <c r="B56" s="612"/>
      <c r="C56" s="612"/>
      <c r="D56" s="612"/>
      <c r="E56" s="612"/>
      <c r="F56" s="612" t="s">
        <v>1015</v>
      </c>
      <c r="G56" s="650"/>
    </row>
    <row r="57" spans="1:25">
      <c r="A57" s="636"/>
      <c r="B57" s="612"/>
      <c r="C57" s="612"/>
      <c r="D57" s="612"/>
      <c r="E57" s="612"/>
      <c r="F57" s="612"/>
      <c r="G57" s="650"/>
    </row>
    <row r="58" spans="1:25">
      <c r="B58" s="612"/>
      <c r="C58" s="612"/>
      <c r="D58" s="612"/>
      <c r="E58" s="612"/>
      <c r="F58" s="612"/>
      <c r="G58" s="612"/>
    </row>
    <row r="59" spans="1:25">
      <c r="B59" s="612"/>
      <c r="C59" s="612"/>
      <c r="D59" s="612"/>
      <c r="E59" s="612"/>
      <c r="F59" s="612"/>
      <c r="G59" s="612"/>
    </row>
    <row r="60" spans="1:25">
      <c r="B60" s="612"/>
      <c r="C60" s="612"/>
      <c r="D60" s="612"/>
      <c r="E60" s="612"/>
      <c r="F60" s="612"/>
      <c r="G60" s="612"/>
    </row>
    <row r="61" spans="1:25">
      <c r="B61" s="612"/>
      <c r="C61" s="612"/>
      <c r="D61" s="612"/>
      <c r="E61" s="612"/>
      <c r="F61" s="612"/>
      <c r="G61" s="612"/>
    </row>
    <row r="62" spans="1:25">
      <c r="B62" s="612"/>
      <c r="C62" s="612"/>
      <c r="D62" s="612"/>
      <c r="E62" s="612"/>
      <c r="F62" s="612"/>
      <c r="G62" s="612"/>
    </row>
    <row r="63" spans="1:25">
      <c r="B63" s="612"/>
      <c r="C63" s="612"/>
      <c r="D63" s="612"/>
      <c r="E63" s="612"/>
      <c r="F63" s="612"/>
      <c r="G63" s="612"/>
    </row>
    <row r="64" spans="1:25">
      <c r="B64" s="612"/>
      <c r="C64" s="612"/>
      <c r="D64" s="612"/>
      <c r="E64" s="612"/>
      <c r="F64" s="612"/>
      <c r="G64" s="612"/>
    </row>
    <row r="65" spans="2:7">
      <c r="B65" s="612"/>
      <c r="C65" s="612"/>
      <c r="D65" s="612"/>
      <c r="E65" s="612"/>
      <c r="F65" s="612"/>
      <c r="G65" s="612"/>
    </row>
    <row r="66" spans="2:7">
      <c r="B66" s="612"/>
      <c r="C66" s="612"/>
      <c r="D66" s="612"/>
      <c r="E66" s="612"/>
      <c r="F66" s="612"/>
      <c r="G66" s="612"/>
    </row>
    <row r="67" spans="2:7">
      <c r="B67" s="612"/>
      <c r="C67" s="612"/>
      <c r="D67" s="612"/>
      <c r="E67" s="612"/>
      <c r="F67" s="612"/>
      <c r="G67" s="612"/>
    </row>
    <row r="68" spans="2:7">
      <c r="B68" s="616"/>
      <c r="C68" s="616"/>
      <c r="D68" s="616"/>
      <c r="E68" s="616"/>
      <c r="F68" s="616"/>
      <c r="G68" s="616"/>
    </row>
    <row r="69" spans="2:7">
      <c r="B69" s="612"/>
      <c r="C69" s="612"/>
      <c r="D69" s="612"/>
      <c r="E69" s="612"/>
      <c r="F69" s="612"/>
      <c r="G69" s="612"/>
    </row>
    <row r="70" spans="2:7">
      <c r="B70" s="612"/>
      <c r="C70" s="612"/>
      <c r="D70" s="612"/>
      <c r="E70" s="612"/>
      <c r="F70" s="612"/>
      <c r="G70" s="612"/>
    </row>
    <row r="71" spans="2:7">
      <c r="B71" s="612"/>
      <c r="C71" s="612"/>
      <c r="D71" s="612"/>
      <c r="E71" s="612"/>
      <c r="F71" s="612"/>
      <c r="G71" s="612"/>
    </row>
    <row r="72" spans="2:7">
      <c r="B72" s="612"/>
      <c r="C72" s="612"/>
      <c r="D72" s="612"/>
      <c r="E72" s="612"/>
      <c r="F72" s="612"/>
      <c r="G72" s="612"/>
    </row>
    <row r="73" spans="2:7">
      <c r="B73" s="612"/>
      <c r="C73" s="612"/>
      <c r="D73" s="612"/>
      <c r="E73" s="612"/>
      <c r="F73" s="612"/>
      <c r="G73" s="612"/>
    </row>
    <row r="74" spans="2:7">
      <c r="B74" s="612"/>
      <c r="C74" s="612"/>
      <c r="D74" s="612"/>
      <c r="E74" s="612"/>
      <c r="F74" s="612"/>
      <c r="G74" s="612"/>
    </row>
    <row r="75" spans="2:7">
      <c r="B75" s="1734"/>
      <c r="C75" s="1734"/>
      <c r="D75" s="1734"/>
      <c r="E75" s="1734"/>
      <c r="F75" s="1734"/>
      <c r="G75" s="1734"/>
    </row>
    <row r="78" spans="2:7">
      <c r="G78" s="614" t="s">
        <v>1015</v>
      </c>
    </row>
  </sheetData>
  <mergeCells count="7">
    <mergeCell ref="U8:W8"/>
    <mergeCell ref="B75:G75"/>
    <mergeCell ref="C8:G8"/>
    <mergeCell ref="A51:G51"/>
    <mergeCell ref="P8:T8"/>
    <mergeCell ref="U54:V54"/>
    <mergeCell ref="A53:W53"/>
  </mergeCells>
  <printOptions horizontalCentered="1"/>
  <pageMargins left="0.51" right="0.47" top="0.75" bottom="0.75" header="0.3" footer="0.3"/>
  <pageSetup paperSize="9" scale="61" orientation="landscape" r:id="rId1"/>
</worksheet>
</file>

<file path=xl/worksheets/sheet40.xml><?xml version="1.0" encoding="utf-8"?>
<worksheet xmlns="http://schemas.openxmlformats.org/spreadsheetml/2006/main" xmlns:r="http://schemas.openxmlformats.org/officeDocument/2006/relationships">
  <sheetPr>
    <pageSetUpPr fitToPage="1"/>
  </sheetPr>
  <dimension ref="A1:X91"/>
  <sheetViews>
    <sheetView workbookViewId="0">
      <selection activeCell="J15" sqref="J15"/>
    </sheetView>
  </sheetViews>
  <sheetFormatPr defaultColWidth="9.33203125" defaultRowHeight="15"/>
  <cols>
    <col min="1" max="1" width="15.5" style="158" customWidth="1"/>
    <col min="2" max="2" width="20.1640625" style="158" customWidth="1"/>
    <col min="3" max="8" width="15.33203125" style="158" customWidth="1"/>
    <col min="9" max="23" width="16.5" style="158" customWidth="1"/>
    <col min="24" max="16384" width="9.33203125" style="158"/>
  </cols>
  <sheetData>
    <row r="1" spans="1:24" ht="15.75" thickBot="1">
      <c r="I1" s="159"/>
      <c r="J1" s="159"/>
      <c r="K1" s="159"/>
      <c r="L1" s="159"/>
      <c r="M1" s="159"/>
      <c r="N1" s="159"/>
      <c r="O1" s="159"/>
      <c r="P1" s="159"/>
      <c r="Q1" s="159"/>
      <c r="R1" s="159"/>
      <c r="S1" s="159"/>
      <c r="T1" s="159"/>
      <c r="U1" s="159"/>
      <c r="V1" s="159"/>
      <c r="W1" s="159"/>
    </row>
    <row r="2" spans="1:24">
      <c r="A2" s="162"/>
      <c r="B2" s="163"/>
      <c r="C2" s="163"/>
      <c r="D2" s="163"/>
      <c r="E2" s="163"/>
      <c r="F2" s="163"/>
      <c r="G2" s="163"/>
      <c r="H2" s="163"/>
      <c r="X2" s="164"/>
    </row>
    <row r="3" spans="1:24" ht="17.25">
      <c r="A3" s="164"/>
      <c r="V3" s="488" t="s">
        <v>817</v>
      </c>
      <c r="X3" s="164"/>
    </row>
    <row r="4" spans="1:24" ht="12.75" customHeight="1">
      <c r="A4" s="164"/>
      <c r="X4" s="164"/>
    </row>
    <row r="5" spans="1:24" ht="24.75" customHeight="1">
      <c r="A5" s="2231" t="s">
        <v>833</v>
      </c>
      <c r="B5" s="2232"/>
      <c r="C5" s="2232"/>
      <c r="D5" s="2232"/>
      <c r="E5" s="2232"/>
      <c r="F5" s="2232"/>
      <c r="G5" s="2232"/>
      <c r="H5" s="2232"/>
      <c r="I5" s="2232"/>
      <c r="J5" s="2232"/>
      <c r="K5" s="2232"/>
      <c r="L5" s="2232"/>
      <c r="M5" s="2232"/>
      <c r="N5" s="2232"/>
      <c r="O5" s="2232"/>
      <c r="P5" s="2232"/>
      <c r="Q5" s="2232"/>
      <c r="R5" s="2232"/>
      <c r="S5" s="2232"/>
      <c r="T5" s="2232"/>
      <c r="U5" s="2232"/>
      <c r="V5" s="2232"/>
      <c r="W5" s="2233"/>
      <c r="X5" s="164"/>
    </row>
    <row r="6" spans="1:24">
      <c r="A6" s="173"/>
      <c r="B6" s="167"/>
      <c r="C6" s="167"/>
      <c r="D6" s="167"/>
      <c r="E6" s="167"/>
      <c r="F6" s="167"/>
      <c r="G6" s="167"/>
      <c r="H6" s="167"/>
      <c r="X6" s="164"/>
    </row>
    <row r="7" spans="1:24" ht="19.899999999999999" customHeight="1">
      <c r="A7" s="2236" t="s">
        <v>445</v>
      </c>
      <c r="B7" s="2237"/>
      <c r="C7" s="2238" t="s">
        <v>417</v>
      </c>
      <c r="D7" s="2238"/>
      <c r="E7" s="2238"/>
      <c r="F7" s="2238"/>
      <c r="G7" s="2238"/>
      <c r="H7" s="2238"/>
      <c r="X7" s="164"/>
    </row>
    <row r="8" spans="1:24" ht="16.899999999999999" customHeight="1">
      <c r="A8" s="2236" t="s">
        <v>446</v>
      </c>
      <c r="B8" s="2237"/>
      <c r="C8" s="2238" t="s">
        <v>898</v>
      </c>
      <c r="D8" s="2238"/>
      <c r="E8" s="2238"/>
      <c r="F8" s="2238"/>
      <c r="G8" s="2238"/>
      <c r="H8" s="2238"/>
      <c r="X8" s="164"/>
    </row>
    <row r="9" spans="1:24" ht="19.5" customHeight="1" thickBot="1">
      <c r="A9" s="175"/>
      <c r="B9" s="160"/>
      <c r="C9" s="265"/>
      <c r="D9" s="265"/>
      <c r="E9" s="265"/>
      <c r="F9" s="265"/>
      <c r="G9" s="265"/>
      <c r="H9" s="265"/>
      <c r="I9" s="159"/>
      <c r="J9" s="159"/>
      <c r="X9" s="164"/>
    </row>
    <row r="10" spans="1:24" ht="31.15" customHeight="1">
      <c r="A10" s="2239" t="s">
        <v>375</v>
      </c>
      <c r="B10" s="2241" t="s">
        <v>447</v>
      </c>
      <c r="C10" s="2247" t="s">
        <v>711</v>
      </c>
      <c r="D10" s="2249" t="s">
        <v>713</v>
      </c>
      <c r="E10" s="2251" t="s">
        <v>714</v>
      </c>
      <c r="F10" s="2247" t="s">
        <v>712</v>
      </c>
      <c r="G10" s="2247" t="s">
        <v>716</v>
      </c>
      <c r="H10" s="2245" t="s">
        <v>715</v>
      </c>
      <c r="I10" s="2243" t="s">
        <v>717</v>
      </c>
      <c r="J10" s="2243" t="s">
        <v>877</v>
      </c>
      <c r="K10" s="2245" t="s">
        <v>878</v>
      </c>
      <c r="L10" s="2247" t="s">
        <v>873</v>
      </c>
      <c r="M10" s="2247" t="s">
        <v>879</v>
      </c>
      <c r="N10" s="2245" t="s">
        <v>880</v>
      </c>
      <c r="O10" s="2247" t="s">
        <v>874</v>
      </c>
      <c r="P10" s="2247" t="s">
        <v>881</v>
      </c>
      <c r="Q10" s="2245" t="s">
        <v>882</v>
      </c>
      <c r="R10" s="2247" t="s">
        <v>875</v>
      </c>
      <c r="S10" s="2247" t="s">
        <v>883</v>
      </c>
      <c r="T10" s="2245" t="s">
        <v>884</v>
      </c>
      <c r="U10" s="2247" t="s">
        <v>876</v>
      </c>
      <c r="V10" s="2247" t="s">
        <v>885</v>
      </c>
      <c r="W10" s="2234" t="s">
        <v>886</v>
      </c>
      <c r="X10" s="164"/>
    </row>
    <row r="11" spans="1:24" ht="57" customHeight="1">
      <c r="A11" s="2240"/>
      <c r="B11" s="2242"/>
      <c r="C11" s="2244"/>
      <c r="D11" s="2250"/>
      <c r="E11" s="2252"/>
      <c r="F11" s="2244"/>
      <c r="G11" s="2244"/>
      <c r="H11" s="2246"/>
      <c r="I11" s="2244"/>
      <c r="J11" s="2244"/>
      <c r="K11" s="2246"/>
      <c r="L11" s="2244"/>
      <c r="M11" s="2244"/>
      <c r="N11" s="2246"/>
      <c r="O11" s="2244"/>
      <c r="P11" s="2244"/>
      <c r="Q11" s="2246"/>
      <c r="R11" s="2244"/>
      <c r="S11" s="2244"/>
      <c r="T11" s="2246"/>
      <c r="U11" s="2244"/>
      <c r="V11" s="2244"/>
      <c r="W11" s="2235"/>
      <c r="X11" s="164"/>
    </row>
    <row r="12" spans="1:24">
      <c r="A12" s="416">
        <v>-1</v>
      </c>
      <c r="B12" s="417">
        <v>-2</v>
      </c>
      <c r="C12" s="416">
        <v>-3</v>
      </c>
      <c r="D12" s="417">
        <v>-4</v>
      </c>
      <c r="E12" s="416">
        <v>-5</v>
      </c>
      <c r="F12" s="417">
        <v>-6</v>
      </c>
      <c r="G12" s="416">
        <v>-7</v>
      </c>
      <c r="H12" s="484">
        <v>-8</v>
      </c>
      <c r="I12" s="416">
        <v>-9</v>
      </c>
      <c r="J12" s="484">
        <v>-10</v>
      </c>
      <c r="K12" s="416">
        <v>-11</v>
      </c>
      <c r="L12" s="484">
        <v>-12</v>
      </c>
      <c r="M12" s="416">
        <v>-13</v>
      </c>
      <c r="N12" s="484">
        <v>-14</v>
      </c>
      <c r="O12" s="416">
        <v>-15</v>
      </c>
      <c r="P12" s="484">
        <v>-16</v>
      </c>
      <c r="Q12" s="416">
        <v>-17</v>
      </c>
      <c r="R12" s="484">
        <v>-18</v>
      </c>
      <c r="S12" s="416">
        <v>-19</v>
      </c>
      <c r="T12" s="484">
        <v>-20</v>
      </c>
      <c r="U12" s="416">
        <v>-21</v>
      </c>
      <c r="V12" s="484">
        <v>-22</v>
      </c>
      <c r="W12" s="416">
        <v>-23</v>
      </c>
      <c r="X12" s="164"/>
    </row>
    <row r="13" spans="1:24">
      <c r="A13" s="176">
        <v>1</v>
      </c>
      <c r="B13" s="187" t="s">
        <v>450</v>
      </c>
      <c r="C13" s="286"/>
      <c r="D13" s="286"/>
      <c r="E13" s="286"/>
      <c r="F13" s="286"/>
      <c r="G13" s="286"/>
      <c r="H13" s="286"/>
      <c r="I13" s="275"/>
      <c r="J13" s="275"/>
      <c r="K13" s="275"/>
      <c r="L13" s="275"/>
      <c r="M13" s="275"/>
      <c r="N13" s="275"/>
      <c r="O13" s="275"/>
      <c r="P13" s="275"/>
      <c r="Q13" s="275"/>
      <c r="R13" s="275"/>
      <c r="S13" s="275"/>
      <c r="T13" s="275"/>
      <c r="U13" s="275"/>
      <c r="V13" s="275"/>
      <c r="W13" s="485"/>
      <c r="X13" s="164"/>
    </row>
    <row r="14" spans="1:24" ht="14.45" customHeight="1">
      <c r="A14" s="266">
        <v>1.1000000000000001</v>
      </c>
      <c r="B14" s="296" t="s">
        <v>451</v>
      </c>
      <c r="C14" s="287"/>
      <c r="D14" s="287"/>
      <c r="E14" s="287"/>
      <c r="F14" s="287"/>
      <c r="G14" s="287"/>
      <c r="H14" s="287"/>
      <c r="I14" s="275"/>
      <c r="J14" s="275"/>
      <c r="K14" s="275"/>
      <c r="L14" s="275"/>
      <c r="M14" s="275"/>
      <c r="N14" s="275"/>
      <c r="O14" s="275"/>
      <c r="P14" s="275"/>
      <c r="Q14" s="275"/>
      <c r="R14" s="275"/>
      <c r="S14" s="275"/>
      <c r="T14" s="275"/>
      <c r="U14" s="275"/>
      <c r="V14" s="275"/>
      <c r="W14" s="485"/>
      <c r="X14" s="164"/>
    </row>
    <row r="15" spans="1:24">
      <c r="A15" s="266">
        <v>1.2</v>
      </c>
      <c r="B15" s="296" t="s">
        <v>452</v>
      </c>
      <c r="C15" s="288"/>
      <c r="D15" s="288"/>
      <c r="E15" s="288"/>
      <c r="F15" s="288"/>
      <c r="G15" s="288"/>
      <c r="H15" s="288"/>
      <c r="I15" s="275"/>
      <c r="J15" s="275"/>
      <c r="K15" s="275"/>
      <c r="L15" s="275"/>
      <c r="M15" s="275"/>
      <c r="N15" s="275"/>
      <c r="O15" s="275"/>
      <c r="P15" s="275"/>
      <c r="Q15" s="275"/>
      <c r="R15" s="275"/>
      <c r="S15" s="275"/>
      <c r="T15" s="275"/>
      <c r="U15" s="275"/>
      <c r="V15" s="275"/>
      <c r="W15" s="485"/>
      <c r="X15" s="164"/>
    </row>
    <row r="16" spans="1:24">
      <c r="A16" s="266">
        <v>1.3</v>
      </c>
      <c r="B16" s="296" t="s">
        <v>453</v>
      </c>
      <c r="C16" s="288"/>
      <c r="D16" s="288"/>
      <c r="E16" s="288"/>
      <c r="F16" s="288"/>
      <c r="G16" s="288"/>
      <c r="H16" s="288"/>
      <c r="I16" s="275"/>
      <c r="J16" s="275"/>
      <c r="K16" s="275"/>
      <c r="L16" s="275"/>
      <c r="M16" s="275"/>
      <c r="N16" s="275"/>
      <c r="O16" s="275"/>
      <c r="P16" s="275"/>
      <c r="Q16" s="275"/>
      <c r="R16" s="275"/>
      <c r="S16" s="275"/>
      <c r="T16" s="275"/>
      <c r="U16" s="275"/>
      <c r="V16" s="275"/>
      <c r="W16" s="485"/>
      <c r="X16" s="164"/>
    </row>
    <row r="17" spans="1:24">
      <c r="A17" s="266">
        <v>1.4</v>
      </c>
      <c r="B17" s="296" t="s">
        <v>454</v>
      </c>
      <c r="C17" s="288"/>
      <c r="D17" s="288"/>
      <c r="E17" s="288"/>
      <c r="F17" s="288"/>
      <c r="G17" s="288"/>
      <c r="H17" s="288"/>
      <c r="I17" s="275"/>
      <c r="J17" s="275"/>
      <c r="K17" s="275"/>
      <c r="L17" s="275"/>
      <c r="M17" s="275"/>
      <c r="N17" s="275"/>
      <c r="O17" s="275"/>
      <c r="P17" s="275"/>
      <c r="Q17" s="275"/>
      <c r="R17" s="275"/>
      <c r="S17" s="275"/>
      <c r="T17" s="275"/>
      <c r="U17" s="275"/>
      <c r="V17" s="275"/>
      <c r="W17" s="485"/>
      <c r="X17" s="164"/>
    </row>
    <row r="18" spans="1:24">
      <c r="A18" s="266">
        <v>1.5</v>
      </c>
      <c r="B18" s="296" t="s">
        <v>455</v>
      </c>
      <c r="C18" s="288"/>
      <c r="D18" s="288"/>
      <c r="E18" s="288"/>
      <c r="F18" s="288"/>
      <c r="G18" s="288"/>
      <c r="H18" s="288"/>
      <c r="I18" s="275"/>
      <c r="J18" s="275"/>
      <c r="K18" s="275"/>
      <c r="L18" s="275"/>
      <c r="M18" s="275"/>
      <c r="N18" s="275"/>
      <c r="O18" s="275"/>
      <c r="P18" s="275"/>
      <c r="Q18" s="275"/>
      <c r="R18" s="275"/>
      <c r="S18" s="275"/>
      <c r="T18" s="275"/>
      <c r="U18" s="275"/>
      <c r="V18" s="275"/>
      <c r="W18" s="485"/>
      <c r="X18" s="164"/>
    </row>
    <row r="19" spans="1:24">
      <c r="A19" s="266">
        <v>1.6</v>
      </c>
      <c r="B19" s="296" t="s">
        <v>456</v>
      </c>
      <c r="C19" s="288"/>
      <c r="D19" s="288"/>
      <c r="E19" s="288"/>
      <c r="F19" s="288"/>
      <c r="G19" s="288"/>
      <c r="H19" s="288"/>
      <c r="I19" s="275"/>
      <c r="J19" s="275"/>
      <c r="K19" s="275"/>
      <c r="L19" s="275"/>
      <c r="M19" s="275"/>
      <c r="N19" s="275"/>
      <c r="O19" s="275"/>
      <c r="P19" s="275"/>
      <c r="Q19" s="275"/>
      <c r="R19" s="275"/>
      <c r="S19" s="275"/>
      <c r="T19" s="275"/>
      <c r="U19" s="275"/>
      <c r="V19" s="275"/>
      <c r="W19" s="485"/>
      <c r="X19" s="164"/>
    </row>
    <row r="20" spans="1:24" ht="24">
      <c r="A20" s="266">
        <v>1.7</v>
      </c>
      <c r="B20" s="296" t="s">
        <v>457</v>
      </c>
      <c r="C20" s="288"/>
      <c r="D20" s="288"/>
      <c r="E20" s="288"/>
      <c r="F20" s="288"/>
      <c r="G20" s="288"/>
      <c r="H20" s="288"/>
      <c r="I20" s="275"/>
      <c r="J20" s="275"/>
      <c r="K20" s="275"/>
      <c r="L20" s="275"/>
      <c r="M20" s="275"/>
      <c r="N20" s="275"/>
      <c r="O20" s="275"/>
      <c r="P20" s="275"/>
      <c r="Q20" s="275"/>
      <c r="R20" s="275"/>
      <c r="S20" s="275"/>
      <c r="T20" s="275"/>
      <c r="U20" s="275"/>
      <c r="V20" s="275"/>
      <c r="W20" s="485"/>
      <c r="X20" s="164"/>
    </row>
    <row r="21" spans="1:24">
      <c r="A21" s="176">
        <v>1.8</v>
      </c>
      <c r="B21" s="263" t="s">
        <v>458</v>
      </c>
      <c r="C21" s="353">
        <v>4772.1400000000003</v>
      </c>
      <c r="D21" s="353">
        <f>4280.7+75.05</f>
        <v>4355.75</v>
      </c>
      <c r="E21" s="353">
        <f>C21-D21</f>
        <v>416.39000000000033</v>
      </c>
      <c r="F21" s="353">
        <v>4772.1400000000003</v>
      </c>
      <c r="G21" s="353">
        <f>4280.7+75.05+237.09</f>
        <v>4592.84</v>
      </c>
      <c r="H21" s="353">
        <f>F21-G21</f>
        <v>179.30000000000018</v>
      </c>
      <c r="I21" s="275"/>
      <c r="J21" s="275"/>
      <c r="K21" s="275"/>
      <c r="L21" s="275"/>
      <c r="M21" s="275"/>
      <c r="N21" s="275"/>
      <c r="O21" s="275"/>
      <c r="P21" s="275"/>
      <c r="Q21" s="275"/>
      <c r="R21" s="275"/>
      <c r="S21" s="275"/>
      <c r="T21" s="275"/>
      <c r="U21" s="275"/>
      <c r="V21" s="275"/>
      <c r="W21" s="485"/>
      <c r="X21" s="164"/>
    </row>
    <row r="22" spans="1:24">
      <c r="A22" s="176">
        <v>2</v>
      </c>
      <c r="B22" s="2254" t="s">
        <v>459</v>
      </c>
      <c r="C22" s="2255"/>
      <c r="D22" s="2255"/>
      <c r="E22" s="2255"/>
      <c r="F22" s="2255"/>
      <c r="G22" s="2255"/>
      <c r="H22" s="2255"/>
      <c r="I22" s="2255"/>
      <c r="J22" s="2255"/>
      <c r="K22" s="2255"/>
      <c r="L22" s="2255"/>
      <c r="M22" s="2255"/>
      <c r="N22" s="2255"/>
      <c r="O22" s="2255"/>
      <c r="P22" s="2255"/>
      <c r="Q22" s="2255"/>
      <c r="R22" s="2255"/>
      <c r="S22" s="2255"/>
      <c r="T22" s="2255"/>
      <c r="U22" s="2255"/>
      <c r="V22" s="2255"/>
      <c r="W22" s="2256"/>
      <c r="X22" s="164"/>
    </row>
    <row r="23" spans="1:24" ht="22.9" customHeight="1">
      <c r="A23" s="266">
        <v>2.1</v>
      </c>
      <c r="B23" s="296" t="s">
        <v>460</v>
      </c>
      <c r="C23" s="288"/>
      <c r="D23" s="288"/>
      <c r="E23" s="288"/>
      <c r="F23" s="288"/>
      <c r="G23" s="288"/>
      <c r="H23" s="288"/>
      <c r="I23" s="275"/>
      <c r="J23" s="275"/>
      <c r="K23" s="275"/>
      <c r="L23" s="275"/>
      <c r="M23" s="275"/>
      <c r="N23" s="275"/>
      <c r="O23" s="275"/>
      <c r="P23" s="275"/>
      <c r="Q23" s="275"/>
      <c r="R23" s="275"/>
      <c r="S23" s="275"/>
      <c r="T23" s="275"/>
      <c r="U23" s="275"/>
      <c r="V23" s="275"/>
      <c r="W23" s="485"/>
      <c r="X23" s="164"/>
    </row>
    <row r="24" spans="1:24">
      <c r="A24" s="266">
        <v>2.2000000000000002</v>
      </c>
      <c r="B24" s="296" t="s">
        <v>461</v>
      </c>
      <c r="C24" s="288"/>
      <c r="D24" s="288"/>
      <c r="E24" s="288"/>
      <c r="F24" s="288"/>
      <c r="G24" s="288"/>
      <c r="H24" s="288"/>
      <c r="I24" s="275"/>
      <c r="J24" s="275"/>
      <c r="K24" s="275"/>
      <c r="L24" s="275"/>
      <c r="M24" s="275"/>
      <c r="N24" s="275"/>
      <c r="O24" s="275"/>
      <c r="P24" s="275"/>
      <c r="Q24" s="275"/>
      <c r="R24" s="275"/>
      <c r="S24" s="275"/>
      <c r="T24" s="275"/>
      <c r="U24" s="275"/>
      <c r="V24" s="275"/>
      <c r="W24" s="485"/>
      <c r="X24" s="164"/>
    </row>
    <row r="25" spans="1:24">
      <c r="A25" s="266">
        <v>2.2999999999999998</v>
      </c>
      <c r="B25" s="296" t="s">
        <v>462</v>
      </c>
      <c r="C25" s="288"/>
      <c r="D25" s="288"/>
      <c r="E25" s="288"/>
      <c r="F25" s="288"/>
      <c r="G25" s="288"/>
      <c r="H25" s="288"/>
      <c r="I25" s="275"/>
      <c r="J25" s="275"/>
      <c r="K25" s="275"/>
      <c r="L25" s="275"/>
      <c r="M25" s="275"/>
      <c r="N25" s="275"/>
      <c r="O25" s="275"/>
      <c r="P25" s="275"/>
      <c r="Q25" s="275"/>
      <c r="R25" s="275"/>
      <c r="S25" s="275"/>
      <c r="T25" s="275"/>
      <c r="U25" s="275"/>
      <c r="V25" s="275"/>
      <c r="W25" s="485"/>
      <c r="X25" s="164"/>
    </row>
    <row r="26" spans="1:24">
      <c r="A26" s="266">
        <v>2.4</v>
      </c>
      <c r="B26" s="296" t="s">
        <v>463</v>
      </c>
      <c r="C26" s="288"/>
      <c r="D26" s="288"/>
      <c r="E26" s="288"/>
      <c r="F26" s="288"/>
      <c r="G26" s="288"/>
      <c r="H26" s="288"/>
      <c r="I26" s="275"/>
      <c r="J26" s="275"/>
      <c r="K26" s="275"/>
      <c r="L26" s="275"/>
      <c r="M26" s="275"/>
      <c r="N26" s="275"/>
      <c r="O26" s="275"/>
      <c r="P26" s="275"/>
      <c r="Q26" s="275"/>
      <c r="R26" s="275"/>
      <c r="S26" s="275"/>
      <c r="T26" s="275"/>
      <c r="U26" s="275"/>
      <c r="V26" s="275"/>
      <c r="W26" s="485"/>
      <c r="X26" s="164"/>
    </row>
    <row r="27" spans="1:24">
      <c r="A27" s="266">
        <v>2.5</v>
      </c>
      <c r="B27" s="296" t="s">
        <v>455</v>
      </c>
      <c r="C27" s="288"/>
      <c r="D27" s="288"/>
      <c r="E27" s="288"/>
      <c r="F27" s="288"/>
      <c r="G27" s="288"/>
      <c r="H27" s="288"/>
      <c r="I27" s="275"/>
      <c r="J27" s="275"/>
      <c r="K27" s="275"/>
      <c r="L27" s="275"/>
      <c r="M27" s="275"/>
      <c r="N27" s="275"/>
      <c r="O27" s="275"/>
      <c r="P27" s="275"/>
      <c r="Q27" s="275"/>
      <c r="R27" s="275"/>
      <c r="S27" s="275"/>
      <c r="T27" s="275"/>
      <c r="U27" s="275"/>
      <c r="V27" s="275"/>
      <c r="W27" s="485"/>
      <c r="X27" s="164"/>
    </row>
    <row r="28" spans="1:24">
      <c r="A28" s="266">
        <v>2.6</v>
      </c>
      <c r="B28" s="296" t="s">
        <v>464</v>
      </c>
      <c r="C28" s="288"/>
      <c r="D28" s="288"/>
      <c r="E28" s="288"/>
      <c r="F28" s="288"/>
      <c r="G28" s="288"/>
      <c r="H28" s="288"/>
      <c r="I28" s="275"/>
      <c r="J28" s="275"/>
      <c r="K28" s="275"/>
      <c r="L28" s="275"/>
      <c r="M28" s="275"/>
      <c r="N28" s="275"/>
      <c r="O28" s="275"/>
      <c r="P28" s="275"/>
      <c r="Q28" s="275"/>
      <c r="R28" s="275"/>
      <c r="S28" s="275"/>
      <c r="T28" s="275"/>
      <c r="U28" s="275"/>
      <c r="V28" s="275"/>
      <c r="W28" s="302"/>
    </row>
    <row r="29" spans="1:24">
      <c r="A29" s="176">
        <v>2.7</v>
      </c>
      <c r="B29" s="263" t="s">
        <v>465</v>
      </c>
      <c r="C29" s="353">
        <v>877.1</v>
      </c>
      <c r="D29" s="353">
        <f>835.71+37.09</f>
        <v>872.80000000000007</v>
      </c>
      <c r="E29" s="353">
        <f>C29-D29</f>
        <v>4.2999999999999545</v>
      </c>
      <c r="F29" s="353">
        <v>977.42</v>
      </c>
      <c r="G29" s="353">
        <f>835.71+37.09+73.5</f>
        <v>946.30000000000007</v>
      </c>
      <c r="H29" s="353">
        <f>F29-G29</f>
        <v>31.119999999999891</v>
      </c>
      <c r="I29" s="275"/>
      <c r="J29" s="275"/>
      <c r="K29" s="275"/>
      <c r="L29" s="275"/>
      <c r="M29" s="275"/>
      <c r="N29" s="275"/>
      <c r="O29" s="275"/>
      <c r="P29" s="275"/>
      <c r="Q29" s="275"/>
      <c r="R29" s="275"/>
      <c r="S29" s="275"/>
      <c r="T29" s="275"/>
      <c r="U29" s="275"/>
      <c r="V29" s="275"/>
      <c r="W29" s="302"/>
    </row>
    <row r="30" spans="1:24">
      <c r="A30" s="176">
        <v>3</v>
      </c>
      <c r="B30" s="2257" t="s">
        <v>466</v>
      </c>
      <c r="C30" s="2258"/>
      <c r="D30" s="2258"/>
      <c r="E30" s="2258"/>
      <c r="F30" s="2258"/>
      <c r="G30" s="2258"/>
      <c r="H30" s="2258"/>
      <c r="I30" s="2258"/>
      <c r="J30" s="2258"/>
      <c r="K30" s="2258"/>
      <c r="L30" s="2258"/>
      <c r="M30" s="2258"/>
      <c r="N30" s="2258"/>
      <c r="O30" s="2258"/>
      <c r="P30" s="2258"/>
      <c r="Q30" s="2258"/>
      <c r="R30" s="2258"/>
      <c r="S30" s="2258"/>
      <c r="T30" s="2258"/>
      <c r="U30" s="2258"/>
      <c r="V30" s="2258"/>
      <c r="W30" s="2259"/>
    </row>
    <row r="31" spans="1:24" ht="53.25" customHeight="1">
      <c r="A31" s="266">
        <v>3.1</v>
      </c>
      <c r="B31" s="296" t="s">
        <v>467</v>
      </c>
      <c r="C31" s="288">
        <v>39.71</v>
      </c>
      <c r="D31" s="288">
        <f>C31</f>
        <v>39.71</v>
      </c>
      <c r="E31" s="288">
        <f t="shared" ref="E31:E50" si="0">C31-D31</f>
        <v>0</v>
      </c>
      <c r="F31" s="288">
        <v>39.869999999999997</v>
      </c>
      <c r="G31" s="288">
        <f>F31</f>
        <v>39.869999999999997</v>
      </c>
      <c r="H31" s="288">
        <f>G31-F31</f>
        <v>0</v>
      </c>
      <c r="I31" s="275"/>
      <c r="J31" s="275"/>
      <c r="K31" s="275"/>
      <c r="L31" s="275"/>
      <c r="M31" s="275"/>
      <c r="N31" s="275"/>
      <c r="O31" s="275"/>
      <c r="P31" s="275"/>
      <c r="Q31" s="275"/>
      <c r="R31" s="275"/>
      <c r="S31" s="275"/>
      <c r="T31" s="275"/>
      <c r="U31" s="275"/>
      <c r="V31" s="275"/>
      <c r="W31" s="302"/>
    </row>
    <row r="32" spans="1:24" ht="26.45" customHeight="1">
      <c r="A32" s="266">
        <v>3.2</v>
      </c>
      <c r="B32" s="296" t="s">
        <v>468</v>
      </c>
      <c r="C32" s="288">
        <v>0.02</v>
      </c>
      <c r="D32" s="288">
        <f t="shared" ref="D32:D44" si="1">C32</f>
        <v>0.02</v>
      </c>
      <c r="E32" s="288">
        <f t="shared" si="0"/>
        <v>0</v>
      </c>
      <c r="F32" s="288">
        <v>0.02</v>
      </c>
      <c r="G32" s="288">
        <f t="shared" ref="G32:G44" si="2">F32</f>
        <v>0.02</v>
      </c>
      <c r="H32" s="288">
        <f t="shared" ref="H32:H51" si="3">G32-F32</f>
        <v>0</v>
      </c>
      <c r="I32" s="275"/>
      <c r="J32" s="275"/>
      <c r="K32" s="275"/>
      <c r="L32" s="275"/>
      <c r="M32" s="275"/>
      <c r="N32" s="275"/>
      <c r="O32" s="275"/>
      <c r="P32" s="275"/>
      <c r="Q32" s="275"/>
      <c r="R32" s="275"/>
      <c r="S32" s="275"/>
      <c r="T32" s="275"/>
      <c r="U32" s="275"/>
      <c r="V32" s="275"/>
      <c r="W32" s="302"/>
    </row>
    <row r="33" spans="1:23" ht="31.15" customHeight="1">
      <c r="A33" s="266">
        <v>3.3</v>
      </c>
      <c r="B33" s="296" t="s">
        <v>469</v>
      </c>
      <c r="C33" s="288">
        <v>23.38</v>
      </c>
      <c r="D33" s="288">
        <f t="shared" si="1"/>
        <v>23.38</v>
      </c>
      <c r="E33" s="288">
        <f t="shared" si="0"/>
        <v>0</v>
      </c>
      <c r="F33" s="288">
        <v>23.39</v>
      </c>
      <c r="G33" s="288">
        <f t="shared" si="2"/>
        <v>23.39</v>
      </c>
      <c r="H33" s="288">
        <f t="shared" si="3"/>
        <v>0</v>
      </c>
      <c r="I33" s="275"/>
      <c r="J33" s="275"/>
      <c r="K33" s="275"/>
      <c r="L33" s="275"/>
      <c r="M33" s="275"/>
      <c r="N33" s="275"/>
      <c r="O33" s="275"/>
      <c r="P33" s="275"/>
      <c r="Q33" s="275"/>
      <c r="R33" s="275"/>
      <c r="S33" s="275"/>
      <c r="T33" s="275"/>
      <c r="U33" s="275"/>
      <c r="V33" s="275"/>
      <c r="W33" s="302"/>
    </row>
    <row r="34" spans="1:23" ht="26.45" customHeight="1">
      <c r="A34" s="266">
        <v>3.4</v>
      </c>
      <c r="B34" s="296" t="s">
        <v>471</v>
      </c>
      <c r="C34" s="288">
        <v>11.75</v>
      </c>
      <c r="D34" s="288">
        <f t="shared" si="1"/>
        <v>11.75</v>
      </c>
      <c r="E34" s="288">
        <f t="shared" si="0"/>
        <v>0</v>
      </c>
      <c r="F34" s="288">
        <v>12.34</v>
      </c>
      <c r="G34" s="288">
        <f t="shared" si="2"/>
        <v>12.34</v>
      </c>
      <c r="H34" s="288">
        <f t="shared" si="3"/>
        <v>0</v>
      </c>
      <c r="I34" s="275"/>
      <c r="J34" s="275"/>
      <c r="K34" s="275"/>
      <c r="L34" s="275"/>
      <c r="M34" s="275"/>
      <c r="N34" s="275"/>
      <c r="O34" s="275"/>
      <c r="P34" s="275"/>
      <c r="Q34" s="275"/>
      <c r="R34" s="275"/>
      <c r="S34" s="275"/>
      <c r="T34" s="275"/>
      <c r="U34" s="275"/>
      <c r="V34" s="275"/>
      <c r="W34" s="302"/>
    </row>
    <row r="35" spans="1:23" ht="36" customHeight="1">
      <c r="A35" s="266">
        <v>3.5</v>
      </c>
      <c r="B35" s="296" t="s">
        <v>472</v>
      </c>
      <c r="C35" s="288">
        <v>45.72</v>
      </c>
      <c r="D35" s="288">
        <f t="shared" si="1"/>
        <v>45.72</v>
      </c>
      <c r="E35" s="288">
        <f t="shared" si="0"/>
        <v>0</v>
      </c>
      <c r="F35" s="288">
        <v>44.63</v>
      </c>
      <c r="G35" s="288">
        <f t="shared" si="2"/>
        <v>44.63</v>
      </c>
      <c r="H35" s="288">
        <f t="shared" si="3"/>
        <v>0</v>
      </c>
      <c r="I35" s="275"/>
      <c r="J35" s="275"/>
      <c r="K35" s="275"/>
      <c r="L35" s="275"/>
      <c r="M35" s="275"/>
      <c r="N35" s="275"/>
      <c r="O35" s="275"/>
      <c r="P35" s="275"/>
      <c r="Q35" s="275"/>
      <c r="R35" s="275"/>
      <c r="S35" s="275"/>
      <c r="T35" s="275"/>
      <c r="U35" s="275"/>
      <c r="V35" s="275"/>
      <c r="W35" s="302"/>
    </row>
    <row r="36" spans="1:23" ht="31.9" customHeight="1">
      <c r="A36" s="266">
        <v>3.6</v>
      </c>
      <c r="B36" s="296" t="s">
        <v>473</v>
      </c>
      <c r="C36" s="288">
        <v>17.190000000000001</v>
      </c>
      <c r="D36" s="288">
        <f t="shared" si="1"/>
        <v>17.190000000000001</v>
      </c>
      <c r="E36" s="288">
        <f t="shared" si="0"/>
        <v>0</v>
      </c>
      <c r="F36" s="288">
        <v>17.190000000000001</v>
      </c>
      <c r="G36" s="288">
        <f t="shared" si="2"/>
        <v>17.190000000000001</v>
      </c>
      <c r="H36" s="288">
        <f t="shared" si="3"/>
        <v>0</v>
      </c>
      <c r="I36" s="275"/>
      <c r="J36" s="275"/>
      <c r="K36" s="275"/>
      <c r="L36" s="275"/>
      <c r="M36" s="275"/>
      <c r="N36" s="275"/>
      <c r="O36" s="275"/>
      <c r="P36" s="275"/>
      <c r="Q36" s="275"/>
      <c r="R36" s="275"/>
      <c r="S36" s="275"/>
      <c r="T36" s="275"/>
      <c r="U36" s="275"/>
      <c r="V36" s="275"/>
      <c r="W36" s="302"/>
    </row>
    <row r="37" spans="1:23" ht="27" customHeight="1">
      <c r="A37" s="266">
        <v>3.7</v>
      </c>
      <c r="B37" s="296" t="s">
        <v>474</v>
      </c>
      <c r="C37" s="288">
        <v>46.07</v>
      </c>
      <c r="D37" s="288">
        <f t="shared" si="1"/>
        <v>46.07</v>
      </c>
      <c r="E37" s="288">
        <f t="shared" si="0"/>
        <v>0</v>
      </c>
      <c r="F37" s="288">
        <v>51.48</v>
      </c>
      <c r="G37" s="288">
        <f t="shared" si="2"/>
        <v>51.48</v>
      </c>
      <c r="H37" s="288">
        <f t="shared" si="3"/>
        <v>0</v>
      </c>
      <c r="I37" s="275"/>
      <c r="J37" s="275"/>
      <c r="K37" s="275"/>
      <c r="L37" s="275"/>
      <c r="M37" s="275"/>
      <c r="N37" s="275"/>
      <c r="O37" s="275"/>
      <c r="P37" s="275"/>
      <c r="Q37" s="275"/>
      <c r="R37" s="275"/>
      <c r="S37" s="275"/>
      <c r="T37" s="275"/>
      <c r="U37" s="275"/>
      <c r="V37" s="275"/>
      <c r="W37" s="302"/>
    </row>
    <row r="38" spans="1:23">
      <c r="A38" s="266">
        <v>3.8</v>
      </c>
      <c r="B38" s="296" t="s">
        <v>475</v>
      </c>
      <c r="C38" s="288">
        <v>83.96</v>
      </c>
      <c r="D38" s="288">
        <f t="shared" si="1"/>
        <v>83.96</v>
      </c>
      <c r="E38" s="288">
        <f t="shared" si="0"/>
        <v>0</v>
      </c>
      <c r="F38" s="288">
        <v>84.18</v>
      </c>
      <c r="G38" s="288">
        <f t="shared" si="2"/>
        <v>84.18</v>
      </c>
      <c r="H38" s="288">
        <f t="shared" si="3"/>
        <v>0</v>
      </c>
      <c r="I38" s="275"/>
      <c r="J38" s="275"/>
      <c r="K38" s="275"/>
      <c r="L38" s="275"/>
      <c r="M38" s="275"/>
      <c r="N38" s="275"/>
      <c r="O38" s="275"/>
      <c r="P38" s="275"/>
      <c r="Q38" s="275"/>
      <c r="R38" s="275"/>
      <c r="S38" s="275"/>
      <c r="T38" s="275"/>
      <c r="U38" s="275"/>
      <c r="V38" s="275"/>
      <c r="W38" s="302"/>
    </row>
    <row r="39" spans="1:23">
      <c r="A39" s="266">
        <v>3.9</v>
      </c>
      <c r="B39" s="296" t="s">
        <v>476</v>
      </c>
      <c r="C39" s="288">
        <v>250.38</v>
      </c>
      <c r="D39" s="288">
        <f t="shared" si="1"/>
        <v>250.38</v>
      </c>
      <c r="E39" s="288">
        <f t="shared" si="0"/>
        <v>0</v>
      </c>
      <c r="F39" s="288">
        <v>274.52999999999997</v>
      </c>
      <c r="G39" s="288">
        <f t="shared" si="2"/>
        <v>274.52999999999997</v>
      </c>
      <c r="H39" s="288">
        <f t="shared" si="3"/>
        <v>0</v>
      </c>
      <c r="I39" s="275"/>
      <c r="J39" s="275"/>
      <c r="K39" s="275"/>
      <c r="L39" s="275"/>
      <c r="M39" s="275"/>
      <c r="N39" s="275"/>
      <c r="O39" s="275"/>
      <c r="P39" s="275"/>
      <c r="Q39" s="275"/>
      <c r="R39" s="275"/>
      <c r="S39" s="275"/>
      <c r="T39" s="275"/>
      <c r="U39" s="275"/>
      <c r="V39" s="275"/>
      <c r="W39" s="302"/>
    </row>
    <row r="40" spans="1:23" ht="24">
      <c r="A40" s="359" t="s">
        <v>705</v>
      </c>
      <c r="B40" s="296" t="s">
        <v>477</v>
      </c>
      <c r="C40" s="288">
        <v>0.6</v>
      </c>
      <c r="D40" s="288">
        <f t="shared" si="1"/>
        <v>0.6</v>
      </c>
      <c r="E40" s="288">
        <f t="shared" si="0"/>
        <v>0</v>
      </c>
      <c r="F40" s="288">
        <v>1.45</v>
      </c>
      <c r="G40" s="288">
        <f t="shared" si="2"/>
        <v>1.45</v>
      </c>
      <c r="H40" s="288">
        <f t="shared" si="3"/>
        <v>0</v>
      </c>
      <c r="I40" s="275"/>
      <c r="J40" s="275"/>
      <c r="K40" s="275"/>
      <c r="L40" s="275"/>
      <c r="M40" s="275"/>
      <c r="N40" s="275"/>
      <c r="O40" s="275"/>
      <c r="P40" s="275"/>
      <c r="Q40" s="275"/>
      <c r="R40" s="275"/>
      <c r="S40" s="275"/>
      <c r="T40" s="275"/>
      <c r="U40" s="275"/>
      <c r="V40" s="275"/>
      <c r="W40" s="302"/>
    </row>
    <row r="41" spans="1:23">
      <c r="A41" s="266">
        <v>3.11</v>
      </c>
      <c r="B41" s="296" t="s">
        <v>478</v>
      </c>
      <c r="C41" s="288">
        <v>153.1</v>
      </c>
      <c r="D41" s="288">
        <f t="shared" si="1"/>
        <v>153.1</v>
      </c>
      <c r="E41" s="288">
        <f t="shared" si="0"/>
        <v>0</v>
      </c>
      <c r="F41" s="288">
        <v>270.87</v>
      </c>
      <c r="G41" s="288">
        <f t="shared" si="2"/>
        <v>270.87</v>
      </c>
      <c r="H41" s="288">
        <f t="shared" si="3"/>
        <v>0</v>
      </c>
      <c r="I41" s="275"/>
      <c r="J41" s="275"/>
      <c r="K41" s="275"/>
      <c r="L41" s="275"/>
      <c r="M41" s="275"/>
      <c r="N41" s="275"/>
      <c r="O41" s="275"/>
      <c r="P41" s="275"/>
      <c r="Q41" s="275"/>
      <c r="R41" s="275"/>
      <c r="S41" s="275"/>
      <c r="T41" s="275"/>
      <c r="U41" s="275"/>
      <c r="V41" s="275"/>
      <c r="W41" s="302"/>
    </row>
    <row r="42" spans="1:23" ht="36">
      <c r="A42" s="266">
        <v>3.12</v>
      </c>
      <c r="B42" s="296" t="s">
        <v>626</v>
      </c>
      <c r="C42" s="288">
        <v>63.5</v>
      </c>
      <c r="D42" s="288">
        <f t="shared" si="1"/>
        <v>63.5</v>
      </c>
      <c r="E42" s="288">
        <f t="shared" si="0"/>
        <v>0</v>
      </c>
      <c r="F42" s="288">
        <v>90.3</v>
      </c>
      <c r="G42" s="288">
        <f t="shared" si="2"/>
        <v>90.3</v>
      </c>
      <c r="H42" s="288">
        <f t="shared" si="3"/>
        <v>0</v>
      </c>
      <c r="I42" s="275"/>
      <c r="J42" s="275"/>
      <c r="K42" s="275"/>
      <c r="L42" s="275"/>
      <c r="M42" s="275"/>
      <c r="N42" s="275"/>
      <c r="O42" s="275"/>
      <c r="P42" s="275"/>
      <c r="Q42" s="275"/>
      <c r="R42" s="275"/>
      <c r="S42" s="275"/>
      <c r="T42" s="275"/>
      <c r="U42" s="275"/>
      <c r="V42" s="275"/>
      <c r="W42" s="302"/>
    </row>
    <row r="43" spans="1:23">
      <c r="A43" s="266">
        <v>3.13</v>
      </c>
      <c r="B43" s="296" t="s">
        <v>479</v>
      </c>
      <c r="C43" s="288">
        <v>0.78</v>
      </c>
      <c r="D43" s="288">
        <f t="shared" si="1"/>
        <v>0.78</v>
      </c>
      <c r="E43" s="288">
        <f t="shared" si="0"/>
        <v>0</v>
      </c>
      <c r="F43" s="288">
        <v>0.87</v>
      </c>
      <c r="G43" s="288">
        <f t="shared" si="2"/>
        <v>0.87</v>
      </c>
      <c r="H43" s="288">
        <f t="shared" si="3"/>
        <v>0</v>
      </c>
      <c r="I43" s="275"/>
      <c r="J43" s="275"/>
      <c r="K43" s="275"/>
      <c r="L43" s="275"/>
      <c r="M43" s="275"/>
      <c r="N43" s="275"/>
      <c r="O43" s="275"/>
      <c r="P43" s="275"/>
      <c r="Q43" s="275"/>
      <c r="R43" s="275"/>
      <c r="S43" s="275"/>
      <c r="T43" s="275"/>
      <c r="U43" s="275"/>
      <c r="V43" s="275"/>
      <c r="W43" s="302"/>
    </row>
    <row r="44" spans="1:23">
      <c r="A44" s="266">
        <v>3.14</v>
      </c>
      <c r="B44" s="296" t="s">
        <v>480</v>
      </c>
      <c r="C44" s="288">
        <v>10.050000000000001</v>
      </c>
      <c r="D44" s="288">
        <f t="shared" si="1"/>
        <v>10.050000000000001</v>
      </c>
      <c r="E44" s="288">
        <f t="shared" si="0"/>
        <v>0</v>
      </c>
      <c r="F44" s="288">
        <v>10.73</v>
      </c>
      <c r="G44" s="288">
        <f t="shared" si="2"/>
        <v>10.73</v>
      </c>
      <c r="H44" s="288">
        <f t="shared" si="3"/>
        <v>0</v>
      </c>
      <c r="I44" s="275"/>
      <c r="J44" s="275"/>
      <c r="K44" s="275"/>
      <c r="L44" s="275"/>
      <c r="M44" s="275"/>
      <c r="N44" s="275"/>
      <c r="O44" s="275"/>
      <c r="P44" s="275"/>
      <c r="Q44" s="275"/>
      <c r="R44" s="275"/>
      <c r="S44" s="275"/>
      <c r="T44" s="275"/>
      <c r="U44" s="275"/>
      <c r="V44" s="275"/>
      <c r="W44" s="302"/>
    </row>
    <row r="45" spans="1:23" ht="24">
      <c r="A45" s="266">
        <v>3.15</v>
      </c>
      <c r="B45" s="296" t="s">
        <v>481</v>
      </c>
      <c r="C45" s="288">
        <v>0.45</v>
      </c>
      <c r="D45" s="288">
        <v>0.42</v>
      </c>
      <c r="E45" s="288">
        <v>0.03</v>
      </c>
      <c r="F45" s="288">
        <v>0.45</v>
      </c>
      <c r="G45" s="288">
        <v>0.45</v>
      </c>
      <c r="H45" s="288">
        <f t="shared" si="3"/>
        <v>0</v>
      </c>
      <c r="I45" s="275"/>
      <c r="J45" s="275"/>
      <c r="K45" s="275"/>
      <c r="L45" s="275"/>
      <c r="M45" s="275"/>
      <c r="N45" s="275"/>
      <c r="O45" s="275"/>
      <c r="P45" s="275"/>
      <c r="Q45" s="275"/>
      <c r="R45" s="275"/>
      <c r="S45" s="275"/>
      <c r="T45" s="275"/>
      <c r="U45" s="275"/>
      <c r="V45" s="275"/>
      <c r="W45" s="302"/>
    </row>
    <row r="46" spans="1:23" ht="24">
      <c r="A46" s="266">
        <v>3.16</v>
      </c>
      <c r="B46" s="296" t="s">
        <v>482</v>
      </c>
      <c r="C46" s="288">
        <v>48.02</v>
      </c>
      <c r="D46" s="288">
        <f>C46</f>
        <v>48.02</v>
      </c>
      <c r="E46" s="288">
        <f t="shared" si="0"/>
        <v>0</v>
      </c>
      <c r="F46" s="288">
        <v>48.02</v>
      </c>
      <c r="G46" s="288">
        <f>F46</f>
        <v>48.02</v>
      </c>
      <c r="H46" s="288">
        <f t="shared" si="3"/>
        <v>0</v>
      </c>
      <c r="I46" s="275"/>
      <c r="J46" s="275"/>
      <c r="K46" s="275"/>
      <c r="L46" s="275"/>
      <c r="M46" s="275"/>
      <c r="N46" s="275"/>
      <c r="O46" s="275"/>
      <c r="P46" s="275"/>
      <c r="Q46" s="275"/>
      <c r="R46" s="275"/>
      <c r="S46" s="275"/>
      <c r="T46" s="275"/>
      <c r="U46" s="275"/>
      <c r="V46" s="275"/>
      <c r="W46" s="302"/>
    </row>
    <row r="47" spans="1:23">
      <c r="A47" s="266">
        <v>3.17</v>
      </c>
      <c r="B47" s="296" t="s">
        <v>483</v>
      </c>
      <c r="C47" s="372">
        <v>24.4</v>
      </c>
      <c r="D47" s="288">
        <f>C47</f>
        <v>24.4</v>
      </c>
      <c r="E47" s="288">
        <f t="shared" si="0"/>
        <v>0</v>
      </c>
      <c r="F47" s="288">
        <v>24.4</v>
      </c>
      <c r="G47" s="288">
        <f>F47</f>
        <v>24.4</v>
      </c>
      <c r="H47" s="288">
        <f t="shared" si="3"/>
        <v>0</v>
      </c>
      <c r="I47" s="275"/>
      <c r="J47" s="275"/>
      <c r="K47" s="275"/>
      <c r="L47" s="275"/>
      <c r="M47" s="275"/>
      <c r="N47" s="275"/>
      <c r="O47" s="275"/>
      <c r="P47" s="275"/>
      <c r="Q47" s="275"/>
      <c r="R47" s="275"/>
      <c r="S47" s="275"/>
      <c r="T47" s="275"/>
      <c r="U47" s="275"/>
      <c r="V47" s="275"/>
      <c r="W47" s="302"/>
    </row>
    <row r="48" spans="1:23" ht="24">
      <c r="A48" s="266">
        <v>3.18</v>
      </c>
      <c r="B48" s="296" t="s">
        <v>484</v>
      </c>
      <c r="C48" s="288">
        <v>2.1800000000000002</v>
      </c>
      <c r="D48" s="288">
        <f>C48</f>
        <v>2.1800000000000002</v>
      </c>
      <c r="E48" s="288">
        <f t="shared" si="0"/>
        <v>0</v>
      </c>
      <c r="F48" s="288">
        <v>2.72</v>
      </c>
      <c r="G48" s="288">
        <f>F48</f>
        <v>2.72</v>
      </c>
      <c r="H48" s="288">
        <f t="shared" si="3"/>
        <v>0</v>
      </c>
      <c r="I48" s="275"/>
      <c r="J48" s="275"/>
      <c r="K48" s="275"/>
      <c r="L48" s="275"/>
      <c r="M48" s="275"/>
      <c r="N48" s="275"/>
      <c r="O48" s="275"/>
      <c r="P48" s="275"/>
      <c r="Q48" s="275"/>
      <c r="R48" s="275"/>
      <c r="S48" s="275"/>
      <c r="T48" s="275"/>
      <c r="U48" s="275"/>
      <c r="V48" s="275"/>
      <c r="W48" s="302"/>
    </row>
    <row r="49" spans="1:23">
      <c r="A49" s="266">
        <v>3.19</v>
      </c>
      <c r="B49" s="296" t="s">
        <v>485</v>
      </c>
      <c r="C49" s="288">
        <v>3.99</v>
      </c>
      <c r="D49" s="288">
        <f>C49</f>
        <v>3.99</v>
      </c>
      <c r="E49" s="288">
        <f t="shared" si="0"/>
        <v>0</v>
      </c>
      <c r="F49" s="288">
        <v>4.5</v>
      </c>
      <c r="G49" s="288">
        <f>F49</f>
        <v>4.5</v>
      </c>
      <c r="H49" s="288">
        <f t="shared" si="3"/>
        <v>0</v>
      </c>
      <c r="I49" s="275"/>
      <c r="J49" s="275"/>
      <c r="K49" s="275"/>
      <c r="L49" s="275"/>
      <c r="M49" s="275"/>
      <c r="N49" s="275"/>
      <c r="O49" s="275"/>
      <c r="P49" s="275"/>
      <c r="Q49" s="275"/>
      <c r="R49" s="275"/>
      <c r="S49" s="275"/>
      <c r="T49" s="275"/>
      <c r="U49" s="275"/>
      <c r="V49" s="275"/>
      <c r="W49" s="302"/>
    </row>
    <row r="50" spans="1:23">
      <c r="A50" s="272">
        <v>3.2</v>
      </c>
      <c r="B50" s="296" t="s">
        <v>486</v>
      </c>
      <c r="C50" s="288">
        <v>0</v>
      </c>
      <c r="D50" s="288">
        <v>0</v>
      </c>
      <c r="E50" s="288">
        <f t="shared" si="0"/>
        <v>0</v>
      </c>
      <c r="F50" s="288">
        <v>0</v>
      </c>
      <c r="G50" s="288">
        <f>F50</f>
        <v>0</v>
      </c>
      <c r="H50" s="288">
        <f t="shared" si="3"/>
        <v>0</v>
      </c>
      <c r="I50" s="275"/>
      <c r="J50" s="275"/>
      <c r="K50" s="275"/>
      <c r="L50" s="275"/>
      <c r="M50" s="275"/>
      <c r="N50" s="275"/>
      <c r="O50" s="275"/>
      <c r="P50" s="275"/>
      <c r="Q50" s="275"/>
      <c r="R50" s="275"/>
      <c r="S50" s="275"/>
      <c r="T50" s="275"/>
      <c r="U50" s="275"/>
      <c r="V50" s="275"/>
      <c r="W50" s="302"/>
    </row>
    <row r="51" spans="1:23">
      <c r="A51" s="295">
        <v>3.21</v>
      </c>
      <c r="B51" s="289" t="s">
        <v>627</v>
      </c>
      <c r="C51" s="288">
        <v>0</v>
      </c>
      <c r="D51" s="288">
        <v>0</v>
      </c>
      <c r="E51" s="288">
        <v>0</v>
      </c>
      <c r="F51" s="288">
        <v>28.7</v>
      </c>
      <c r="G51" s="288">
        <v>28.7</v>
      </c>
      <c r="H51" s="288">
        <f t="shared" si="3"/>
        <v>0</v>
      </c>
      <c r="I51" s="275"/>
      <c r="J51" s="275"/>
      <c r="K51" s="275"/>
      <c r="L51" s="275"/>
      <c r="M51" s="275"/>
      <c r="N51" s="275"/>
      <c r="O51" s="275"/>
      <c r="P51" s="275"/>
      <c r="Q51" s="275"/>
      <c r="R51" s="275"/>
      <c r="S51" s="275"/>
      <c r="T51" s="275"/>
      <c r="U51" s="275"/>
      <c r="V51" s="275"/>
      <c r="W51" s="302"/>
    </row>
    <row r="52" spans="1:23" ht="36">
      <c r="A52" s="176">
        <v>3.22</v>
      </c>
      <c r="B52" s="170" t="s">
        <v>487</v>
      </c>
      <c r="C52" s="354">
        <f t="shared" ref="C52:H52" si="4">SUM(C31:C51)</f>
        <v>825.25</v>
      </c>
      <c r="D52" s="354">
        <f t="shared" si="4"/>
        <v>825.21999999999991</v>
      </c>
      <c r="E52" s="354">
        <f t="shared" si="4"/>
        <v>0.03</v>
      </c>
      <c r="F52" s="354">
        <f t="shared" si="4"/>
        <v>1030.6400000000001</v>
      </c>
      <c r="G52" s="353">
        <f t="shared" si="4"/>
        <v>1030.6400000000001</v>
      </c>
      <c r="H52" s="353">
        <f t="shared" si="4"/>
        <v>0</v>
      </c>
      <c r="I52" s="275"/>
      <c r="J52" s="275"/>
      <c r="K52" s="275"/>
      <c r="L52" s="275"/>
      <c r="M52" s="275"/>
      <c r="N52" s="275"/>
      <c r="O52" s="275"/>
      <c r="P52" s="275"/>
      <c r="Q52" s="275"/>
      <c r="R52" s="275"/>
      <c r="S52" s="275"/>
      <c r="T52" s="275"/>
      <c r="U52" s="275"/>
      <c r="V52" s="275"/>
      <c r="W52" s="302"/>
    </row>
    <row r="53" spans="1:23">
      <c r="A53" s="176">
        <v>4</v>
      </c>
      <c r="B53" s="187" t="s">
        <v>488</v>
      </c>
      <c r="C53" s="286"/>
      <c r="D53" s="286"/>
      <c r="E53" s="286"/>
      <c r="F53" s="286"/>
      <c r="G53" s="286"/>
      <c r="H53" s="286"/>
      <c r="I53" s="275"/>
      <c r="J53" s="275"/>
      <c r="K53" s="275"/>
      <c r="L53" s="275"/>
      <c r="M53" s="275"/>
      <c r="N53" s="275"/>
      <c r="O53" s="275"/>
      <c r="P53" s="275"/>
      <c r="Q53" s="275"/>
      <c r="R53" s="275"/>
      <c r="S53" s="275"/>
      <c r="T53" s="275"/>
      <c r="U53" s="275"/>
      <c r="V53" s="275"/>
      <c r="W53" s="302"/>
    </row>
    <row r="54" spans="1:23" ht="19.899999999999999" customHeight="1">
      <c r="A54" s="266">
        <v>4.0999999999999996</v>
      </c>
      <c r="B54" s="296" t="s">
        <v>489</v>
      </c>
      <c r="C54" s="291">
        <v>13.79</v>
      </c>
      <c r="D54" s="291">
        <f>C54</f>
        <v>13.79</v>
      </c>
      <c r="E54" s="291">
        <f t="shared" ref="E54:E63" si="5">C54-D54</f>
        <v>0</v>
      </c>
      <c r="F54" s="291">
        <v>16.2</v>
      </c>
      <c r="G54" s="291">
        <f>F54</f>
        <v>16.2</v>
      </c>
      <c r="H54" s="291">
        <f t="shared" ref="H54:H63" si="6">G54-F54</f>
        <v>0</v>
      </c>
      <c r="I54" s="275"/>
      <c r="J54" s="275"/>
      <c r="K54" s="275"/>
      <c r="L54" s="275"/>
      <c r="M54" s="275"/>
      <c r="N54" s="275"/>
      <c r="O54" s="275"/>
      <c r="P54" s="275"/>
      <c r="Q54" s="275"/>
      <c r="R54" s="275"/>
      <c r="S54" s="275"/>
      <c r="T54" s="275"/>
      <c r="U54" s="275"/>
      <c r="V54" s="275"/>
      <c r="W54" s="302"/>
    </row>
    <row r="55" spans="1:23" ht="22.9" customHeight="1">
      <c r="A55" s="266">
        <v>4.2</v>
      </c>
      <c r="B55" s="296" t="s">
        <v>490</v>
      </c>
      <c r="C55" s="291">
        <v>89.89</v>
      </c>
      <c r="D55" s="291">
        <f t="shared" ref="D55:D63" si="7">C55</f>
        <v>89.89</v>
      </c>
      <c r="E55" s="291">
        <f t="shared" si="5"/>
        <v>0</v>
      </c>
      <c r="F55" s="291">
        <v>88.73</v>
      </c>
      <c r="G55" s="291">
        <f t="shared" ref="G55:G63" si="8">F55</f>
        <v>88.73</v>
      </c>
      <c r="H55" s="291">
        <f t="shared" si="6"/>
        <v>0</v>
      </c>
      <c r="I55" s="275"/>
      <c r="J55" s="275"/>
      <c r="K55" s="275"/>
      <c r="L55" s="275"/>
      <c r="M55" s="275"/>
      <c r="N55" s="275"/>
      <c r="O55" s="275"/>
      <c r="P55" s="275"/>
      <c r="Q55" s="275"/>
      <c r="R55" s="275"/>
      <c r="S55" s="275"/>
      <c r="T55" s="275"/>
      <c r="U55" s="275"/>
      <c r="V55" s="275"/>
      <c r="W55" s="302"/>
    </row>
    <row r="56" spans="1:23" ht="22.15" customHeight="1">
      <c r="A56" s="266">
        <v>4.3</v>
      </c>
      <c r="B56" s="296" t="s">
        <v>491</v>
      </c>
      <c r="C56" s="291">
        <v>114.93</v>
      </c>
      <c r="D56" s="291">
        <f t="shared" si="7"/>
        <v>114.93</v>
      </c>
      <c r="E56" s="291">
        <f t="shared" si="5"/>
        <v>0</v>
      </c>
      <c r="F56" s="291">
        <v>119.44</v>
      </c>
      <c r="G56" s="291">
        <f t="shared" si="8"/>
        <v>119.44</v>
      </c>
      <c r="H56" s="291">
        <f t="shared" si="6"/>
        <v>0</v>
      </c>
      <c r="I56" s="275"/>
      <c r="J56" s="275"/>
      <c r="K56" s="275"/>
      <c r="L56" s="275"/>
      <c r="M56" s="275"/>
      <c r="N56" s="275"/>
      <c r="O56" s="275"/>
      <c r="P56" s="275"/>
      <c r="Q56" s="275"/>
      <c r="R56" s="275"/>
      <c r="S56" s="275"/>
      <c r="T56" s="275"/>
      <c r="U56" s="275"/>
      <c r="V56" s="275"/>
      <c r="W56" s="302"/>
    </row>
    <row r="57" spans="1:23" ht="18" customHeight="1">
      <c r="A57" s="266">
        <v>4.4000000000000004</v>
      </c>
      <c r="B57" s="296" t="s">
        <v>492</v>
      </c>
      <c r="C57" s="291">
        <v>40.200000000000003</v>
      </c>
      <c r="D57" s="291">
        <f t="shared" si="7"/>
        <v>40.200000000000003</v>
      </c>
      <c r="E57" s="291">
        <f t="shared" si="5"/>
        <v>0</v>
      </c>
      <c r="F57" s="291">
        <v>40.200000000000003</v>
      </c>
      <c r="G57" s="291">
        <f t="shared" si="8"/>
        <v>40.200000000000003</v>
      </c>
      <c r="H57" s="291">
        <f t="shared" si="6"/>
        <v>0</v>
      </c>
      <c r="I57" s="275"/>
      <c r="J57" s="275"/>
      <c r="K57" s="275"/>
      <c r="L57" s="275"/>
      <c r="M57" s="275"/>
      <c r="N57" s="275"/>
      <c r="O57" s="275"/>
      <c r="P57" s="275"/>
      <c r="Q57" s="275"/>
      <c r="R57" s="275"/>
      <c r="S57" s="275"/>
      <c r="T57" s="275"/>
      <c r="U57" s="275"/>
      <c r="V57" s="275"/>
      <c r="W57" s="302"/>
    </row>
    <row r="58" spans="1:23">
      <c r="A58" s="266">
        <v>4.5</v>
      </c>
      <c r="B58" s="296" t="s">
        <v>493</v>
      </c>
      <c r="C58" s="291">
        <v>0</v>
      </c>
      <c r="D58" s="291">
        <f t="shared" si="7"/>
        <v>0</v>
      </c>
      <c r="E58" s="291">
        <f t="shared" si="5"/>
        <v>0</v>
      </c>
      <c r="F58" s="291">
        <v>0</v>
      </c>
      <c r="G58" s="291">
        <f t="shared" si="8"/>
        <v>0</v>
      </c>
      <c r="H58" s="291">
        <f t="shared" si="6"/>
        <v>0</v>
      </c>
      <c r="I58" s="275"/>
      <c r="J58" s="275"/>
      <c r="K58" s="275"/>
      <c r="L58" s="275"/>
      <c r="M58" s="275"/>
      <c r="N58" s="275"/>
      <c r="O58" s="275"/>
      <c r="P58" s="275"/>
      <c r="Q58" s="275"/>
      <c r="R58" s="275"/>
      <c r="S58" s="275"/>
      <c r="T58" s="275"/>
      <c r="U58" s="275"/>
      <c r="V58" s="275"/>
      <c r="W58" s="302"/>
    </row>
    <row r="59" spans="1:23" ht="24">
      <c r="A59" s="266">
        <v>4.5999999999999996</v>
      </c>
      <c r="B59" s="296" t="s">
        <v>494</v>
      </c>
      <c r="C59" s="291">
        <v>2.96</v>
      </c>
      <c r="D59" s="291">
        <f t="shared" si="7"/>
        <v>2.96</v>
      </c>
      <c r="E59" s="291">
        <f t="shared" si="5"/>
        <v>0</v>
      </c>
      <c r="F59" s="291">
        <v>2.96</v>
      </c>
      <c r="G59" s="291">
        <f t="shared" si="8"/>
        <v>2.96</v>
      </c>
      <c r="H59" s="291">
        <f t="shared" si="6"/>
        <v>0</v>
      </c>
      <c r="I59" s="275"/>
      <c r="J59" s="275"/>
      <c r="K59" s="275"/>
      <c r="L59" s="275"/>
      <c r="M59" s="275"/>
      <c r="N59" s="275"/>
      <c r="O59" s="275"/>
      <c r="P59" s="275"/>
      <c r="Q59" s="275"/>
      <c r="R59" s="275"/>
      <c r="S59" s="275"/>
      <c r="T59" s="275"/>
      <c r="U59" s="275"/>
      <c r="V59" s="275"/>
      <c r="W59" s="302"/>
    </row>
    <row r="60" spans="1:23">
      <c r="A60" s="266">
        <v>4.7</v>
      </c>
      <c r="B60" s="296" t="s">
        <v>495</v>
      </c>
      <c r="C60" s="291">
        <v>0</v>
      </c>
      <c r="D60" s="291">
        <f t="shared" si="7"/>
        <v>0</v>
      </c>
      <c r="E60" s="291">
        <f t="shared" si="5"/>
        <v>0</v>
      </c>
      <c r="F60" s="291">
        <v>0</v>
      </c>
      <c r="G60" s="291">
        <f t="shared" si="8"/>
        <v>0</v>
      </c>
      <c r="H60" s="291">
        <f t="shared" si="6"/>
        <v>0</v>
      </c>
      <c r="I60" s="275"/>
      <c r="J60" s="275"/>
      <c r="K60" s="275"/>
      <c r="L60" s="275"/>
      <c r="M60" s="275"/>
      <c r="N60" s="275"/>
      <c r="O60" s="275"/>
      <c r="P60" s="275"/>
      <c r="Q60" s="275"/>
      <c r="R60" s="275"/>
      <c r="S60" s="275"/>
      <c r="T60" s="275"/>
      <c r="U60" s="275"/>
      <c r="V60" s="275"/>
      <c r="W60" s="302"/>
    </row>
    <row r="61" spans="1:23">
      <c r="A61" s="266">
        <v>4.8</v>
      </c>
      <c r="B61" s="296" t="s">
        <v>496</v>
      </c>
      <c r="C61" s="291">
        <v>0.5</v>
      </c>
      <c r="D61" s="291">
        <f t="shared" si="7"/>
        <v>0.5</v>
      </c>
      <c r="E61" s="291">
        <f t="shared" si="5"/>
        <v>0</v>
      </c>
      <c r="F61" s="291">
        <v>0.5</v>
      </c>
      <c r="G61" s="291">
        <f t="shared" si="8"/>
        <v>0.5</v>
      </c>
      <c r="H61" s="291">
        <f t="shared" si="6"/>
        <v>0</v>
      </c>
      <c r="I61" s="275"/>
      <c r="J61" s="275"/>
      <c r="K61" s="275"/>
      <c r="L61" s="275"/>
      <c r="M61" s="275"/>
      <c r="N61" s="275"/>
      <c r="O61" s="275"/>
      <c r="P61" s="275"/>
      <c r="Q61" s="275"/>
      <c r="R61" s="275"/>
      <c r="S61" s="275"/>
      <c r="T61" s="275"/>
      <c r="U61" s="275"/>
      <c r="V61" s="275"/>
      <c r="W61" s="302"/>
    </row>
    <row r="62" spans="1:23" ht="19.5" customHeight="1">
      <c r="A62" s="266">
        <v>4.9000000000000004</v>
      </c>
      <c r="B62" s="296" t="s">
        <v>497</v>
      </c>
      <c r="C62" s="291">
        <v>1280.98</v>
      </c>
      <c r="D62" s="291">
        <f t="shared" si="7"/>
        <v>1280.98</v>
      </c>
      <c r="E62" s="291">
        <f t="shared" si="5"/>
        <v>0</v>
      </c>
      <c r="F62" s="291">
        <v>1302.53</v>
      </c>
      <c r="G62" s="291">
        <f t="shared" si="8"/>
        <v>1302.53</v>
      </c>
      <c r="H62" s="291">
        <f t="shared" si="6"/>
        <v>0</v>
      </c>
      <c r="I62" s="275"/>
      <c r="J62" s="275"/>
      <c r="K62" s="275"/>
      <c r="L62" s="275"/>
      <c r="M62" s="275"/>
      <c r="N62" s="275"/>
      <c r="O62" s="275"/>
      <c r="P62" s="275"/>
      <c r="Q62" s="275"/>
      <c r="R62" s="275"/>
      <c r="S62" s="275"/>
      <c r="T62" s="275"/>
      <c r="U62" s="275"/>
      <c r="V62" s="275"/>
      <c r="W62" s="302"/>
    </row>
    <row r="63" spans="1:23" ht="19.5" customHeight="1">
      <c r="A63" s="278">
        <v>4.0999999999999996</v>
      </c>
      <c r="B63" s="276" t="s">
        <v>628</v>
      </c>
      <c r="C63" s="291">
        <v>16.899999999999999</v>
      </c>
      <c r="D63" s="291">
        <f t="shared" si="7"/>
        <v>16.899999999999999</v>
      </c>
      <c r="E63" s="291">
        <f t="shared" si="5"/>
        <v>0</v>
      </c>
      <c r="F63" s="291">
        <v>17</v>
      </c>
      <c r="G63" s="291">
        <f t="shared" si="8"/>
        <v>17</v>
      </c>
      <c r="H63" s="291">
        <f t="shared" si="6"/>
        <v>0</v>
      </c>
      <c r="I63" s="275"/>
      <c r="J63" s="275"/>
      <c r="K63" s="275"/>
      <c r="L63" s="275"/>
      <c r="M63" s="275"/>
      <c r="N63" s="275"/>
      <c r="O63" s="275"/>
      <c r="P63" s="275"/>
      <c r="Q63" s="275"/>
      <c r="R63" s="275"/>
      <c r="S63" s="275"/>
      <c r="T63" s="275"/>
      <c r="U63" s="275"/>
      <c r="V63" s="275"/>
      <c r="W63" s="302"/>
    </row>
    <row r="64" spans="1:23">
      <c r="A64" s="375" t="s">
        <v>730</v>
      </c>
      <c r="B64" s="274" t="s">
        <v>498</v>
      </c>
      <c r="C64" s="354">
        <f t="shared" ref="C64:H64" si="9">SUM(C54:C63)</f>
        <v>1560.15</v>
      </c>
      <c r="D64" s="354">
        <f t="shared" si="9"/>
        <v>1560.15</v>
      </c>
      <c r="E64" s="354">
        <f t="shared" si="9"/>
        <v>0</v>
      </c>
      <c r="F64" s="354">
        <f t="shared" si="9"/>
        <v>1587.56</v>
      </c>
      <c r="G64" s="353">
        <f t="shared" si="9"/>
        <v>1587.56</v>
      </c>
      <c r="H64" s="353">
        <f t="shared" si="9"/>
        <v>0</v>
      </c>
      <c r="I64" s="275"/>
      <c r="J64" s="275"/>
      <c r="K64" s="275"/>
      <c r="L64" s="275"/>
      <c r="M64" s="275"/>
      <c r="N64" s="275"/>
      <c r="O64" s="275"/>
      <c r="P64" s="275"/>
      <c r="Q64" s="275"/>
      <c r="R64" s="275"/>
      <c r="S64" s="275"/>
      <c r="T64" s="275"/>
      <c r="U64" s="275"/>
      <c r="V64" s="275"/>
      <c r="W64" s="302"/>
    </row>
    <row r="65" spans="1:23" ht="24.75" thickBot="1">
      <c r="A65" s="363">
        <v>5</v>
      </c>
      <c r="B65" s="364" t="s">
        <v>499</v>
      </c>
      <c r="C65" s="366">
        <f t="shared" ref="C65:H65" si="10">C21+C29+C52+C64</f>
        <v>8034.6400000000012</v>
      </c>
      <c r="D65" s="366">
        <f t="shared" si="10"/>
        <v>7613.92</v>
      </c>
      <c r="E65" s="366">
        <f t="shared" si="10"/>
        <v>420.72000000000025</v>
      </c>
      <c r="F65" s="366">
        <f t="shared" si="10"/>
        <v>8367.76</v>
      </c>
      <c r="G65" s="418">
        <f t="shared" si="10"/>
        <v>8157.34</v>
      </c>
      <c r="H65" s="418">
        <f t="shared" si="10"/>
        <v>210.42000000000007</v>
      </c>
      <c r="I65" s="306"/>
      <c r="J65" s="306"/>
      <c r="K65" s="306"/>
      <c r="L65" s="306"/>
      <c r="M65" s="306"/>
      <c r="N65" s="306"/>
      <c r="O65" s="306"/>
      <c r="P65" s="306"/>
      <c r="Q65" s="306"/>
      <c r="R65" s="306"/>
      <c r="S65" s="306"/>
      <c r="T65" s="306"/>
      <c r="U65" s="306"/>
      <c r="V65" s="306"/>
      <c r="W65" s="307"/>
    </row>
    <row r="66" spans="1:23">
      <c r="A66" s="178"/>
      <c r="B66" s="172"/>
      <c r="C66" s="2260"/>
      <c r="D66" s="2260"/>
      <c r="E66" s="2260"/>
      <c r="F66" s="2260"/>
      <c r="G66" s="2260"/>
      <c r="H66" s="2260"/>
      <c r="W66" s="165"/>
    </row>
    <row r="67" spans="1:23">
      <c r="A67" s="369"/>
      <c r="B67" s="161"/>
      <c r="C67" s="2260"/>
      <c r="D67" s="2260"/>
      <c r="E67" s="2260"/>
      <c r="F67" s="2260"/>
      <c r="G67" s="2260"/>
      <c r="H67" s="2260"/>
      <c r="W67" s="165"/>
    </row>
    <row r="68" spans="1:23">
      <c r="A68" s="369"/>
      <c r="B68" s="2248"/>
      <c r="C68" s="2248"/>
      <c r="D68" s="2248"/>
      <c r="E68" s="2248"/>
      <c r="F68" s="2248"/>
      <c r="G68" s="2248"/>
      <c r="H68" s="2248"/>
      <c r="W68" s="165"/>
    </row>
    <row r="69" spans="1:23">
      <c r="A69" s="369"/>
      <c r="C69" s="180"/>
      <c r="D69" s="180"/>
      <c r="E69" s="180"/>
      <c r="H69" s="180"/>
      <c r="W69" s="165"/>
    </row>
    <row r="70" spans="1:23">
      <c r="A70" s="164"/>
      <c r="U70" s="2253" t="s">
        <v>700</v>
      </c>
      <c r="V70" s="2253"/>
      <c r="W70" s="165"/>
    </row>
    <row r="71" spans="1:23">
      <c r="A71" s="164"/>
      <c r="C71" s="180"/>
      <c r="D71" s="180"/>
      <c r="E71" s="180"/>
      <c r="F71" s="180"/>
      <c r="G71" s="180"/>
      <c r="H71" s="180"/>
      <c r="W71" s="165"/>
    </row>
    <row r="72" spans="1:23" ht="15.75" thickBot="1">
      <c r="A72" s="166"/>
      <c r="B72" s="159"/>
      <c r="C72" s="159"/>
      <c r="D72" s="159"/>
      <c r="E72" s="159"/>
      <c r="F72" s="159"/>
      <c r="G72" s="159"/>
      <c r="H72" s="159"/>
      <c r="I72" s="159"/>
      <c r="J72" s="159"/>
      <c r="K72" s="159"/>
      <c r="L72" s="159"/>
      <c r="M72" s="159"/>
      <c r="N72" s="159"/>
      <c r="O72" s="159"/>
      <c r="P72" s="159"/>
      <c r="Q72" s="159"/>
      <c r="R72" s="159"/>
      <c r="S72" s="159"/>
      <c r="T72" s="159"/>
      <c r="U72" s="159"/>
      <c r="V72" s="159"/>
      <c r="W72" s="179"/>
    </row>
    <row r="78" spans="1:23" ht="14.45" customHeight="1">
      <c r="J78" s="275">
        <f>C64+1.54</f>
        <v>1561.69</v>
      </c>
    </row>
    <row r="82" ht="14.45" customHeight="1"/>
    <row r="91" ht="14.45" customHeight="1"/>
  </sheetData>
  <mergeCells count="34">
    <mergeCell ref="U70:V70"/>
    <mergeCell ref="N10:N11"/>
    <mergeCell ref="O10:O11"/>
    <mergeCell ref="P10:P11"/>
    <mergeCell ref="Q10:Q11"/>
    <mergeCell ref="R10:R11"/>
    <mergeCell ref="S10:S11"/>
    <mergeCell ref="T10:T11"/>
    <mergeCell ref="U10:U11"/>
    <mergeCell ref="V10:V11"/>
    <mergeCell ref="B22:W22"/>
    <mergeCell ref="B30:W30"/>
    <mergeCell ref="C66:H66"/>
    <mergeCell ref="C10:C11"/>
    <mergeCell ref="I10:I11"/>
    <mergeCell ref="C67:H67"/>
    <mergeCell ref="B68:H68"/>
    <mergeCell ref="D10:D11"/>
    <mergeCell ref="E10:E11"/>
    <mergeCell ref="G10:G11"/>
    <mergeCell ref="H10:H11"/>
    <mergeCell ref="F10:F11"/>
    <mergeCell ref="A5:W5"/>
    <mergeCell ref="W10:W11"/>
    <mergeCell ref="A7:B7"/>
    <mergeCell ref="C7:H7"/>
    <mergeCell ref="A8:B8"/>
    <mergeCell ref="C8:H8"/>
    <mergeCell ref="A10:A11"/>
    <mergeCell ref="B10:B11"/>
    <mergeCell ref="J10:J11"/>
    <mergeCell ref="K10:K11"/>
    <mergeCell ref="L10:L11"/>
    <mergeCell ref="M10:M11"/>
  </mergeCells>
  <pageMargins left="0.7" right="0.7" top="0.75" bottom="0.75" header="0.3" footer="0.3"/>
  <pageSetup paperSize="9" scale="76" fitToHeight="2" orientation="portrait" horizontalDpi="4294967293" r:id="rId1"/>
</worksheet>
</file>

<file path=xl/worksheets/sheet41.xml><?xml version="1.0" encoding="utf-8"?>
<worksheet xmlns="http://schemas.openxmlformats.org/spreadsheetml/2006/main" xmlns:r="http://schemas.openxmlformats.org/officeDocument/2006/relationships">
  <dimension ref="A2:F20"/>
  <sheetViews>
    <sheetView zoomScale="145" zoomScaleNormal="145" workbookViewId="0">
      <selection activeCell="J14" sqref="J14"/>
    </sheetView>
  </sheetViews>
  <sheetFormatPr defaultRowHeight="12.75"/>
  <cols>
    <col min="1" max="1" width="21.83203125" customWidth="1"/>
    <col min="2" max="2" width="15.6640625" customWidth="1"/>
    <col min="3" max="3" width="12.1640625" customWidth="1"/>
    <col min="4" max="4" width="16.6640625" customWidth="1"/>
    <col min="5" max="6" width="14" bestFit="1" customWidth="1"/>
  </cols>
  <sheetData>
    <row r="2" spans="1:6" ht="13.5" thickBot="1"/>
    <row r="3" spans="1:6" ht="15.75">
      <c r="A3" s="150"/>
      <c r="B3" s="151"/>
      <c r="C3" s="151"/>
      <c r="D3" s="151"/>
      <c r="E3" s="151"/>
      <c r="F3" s="1236" t="s">
        <v>1410</v>
      </c>
    </row>
    <row r="4" spans="1:6" ht="20.25">
      <c r="A4" s="2216" t="s">
        <v>1322</v>
      </c>
      <c r="B4" s="2217"/>
      <c r="C4" s="2217"/>
      <c r="D4" s="2217"/>
      <c r="E4" s="2217"/>
      <c r="F4" s="2218"/>
    </row>
    <row r="5" spans="1:6" ht="15.75">
      <c r="A5" s="636"/>
      <c r="B5" s="941"/>
      <c r="C5" s="941"/>
      <c r="D5" s="941"/>
      <c r="E5" s="941"/>
      <c r="F5" s="799"/>
    </row>
    <row r="6" spans="1:6" ht="15.75">
      <c r="A6" s="636" t="s">
        <v>895</v>
      </c>
      <c r="B6" s="941"/>
      <c r="C6" s="941"/>
      <c r="D6" s="941" t="s">
        <v>841</v>
      </c>
      <c r="E6" s="941"/>
      <c r="F6" s="637"/>
    </row>
    <row r="7" spans="1:6" ht="15.75">
      <c r="A7" s="636" t="s">
        <v>896</v>
      </c>
      <c r="B7" s="941"/>
      <c r="C7" s="941"/>
      <c r="D7" s="941" t="s">
        <v>415</v>
      </c>
      <c r="E7" s="941"/>
      <c r="F7" s="637"/>
    </row>
    <row r="8" spans="1:6" ht="15.75">
      <c r="A8" s="636"/>
      <c r="B8" s="941"/>
      <c r="C8" s="778"/>
      <c r="D8" s="941"/>
      <c r="E8" s="941"/>
      <c r="F8" s="637"/>
    </row>
    <row r="9" spans="1:6" ht="15.75">
      <c r="A9" s="638"/>
      <c r="B9" s="778"/>
      <c r="C9" s="778"/>
      <c r="D9" s="941"/>
      <c r="E9" s="2261"/>
      <c r="F9" s="2262"/>
    </row>
    <row r="10" spans="1:6" ht="15.75">
      <c r="A10" s="2263" t="s">
        <v>376</v>
      </c>
      <c r="B10" s="2264" t="s">
        <v>1501</v>
      </c>
      <c r="C10" s="1744" t="s">
        <v>350</v>
      </c>
      <c r="D10" s="2224" t="s">
        <v>1005</v>
      </c>
      <c r="E10" s="2224"/>
      <c r="F10" s="2225"/>
    </row>
    <row r="11" spans="1:6" ht="15.75">
      <c r="A11" s="2263"/>
      <c r="B11" s="2265"/>
      <c r="C11" s="1744"/>
      <c r="D11" s="617" t="s">
        <v>1009</v>
      </c>
      <c r="E11" s="617" t="s">
        <v>1008</v>
      </c>
      <c r="F11" s="639" t="s">
        <v>1007</v>
      </c>
    </row>
    <row r="12" spans="1:6" ht="15.75">
      <c r="A12" s="2263"/>
      <c r="B12" s="2266"/>
      <c r="C12" s="1744"/>
      <c r="D12" s="940" t="s">
        <v>864</v>
      </c>
      <c r="E12" s="940" t="s">
        <v>865</v>
      </c>
      <c r="F12" s="640" t="s">
        <v>866</v>
      </c>
    </row>
    <row r="13" spans="1:6" ht="15.75">
      <c r="A13" s="641" t="s">
        <v>1319</v>
      </c>
      <c r="B13" s="779">
        <v>2.59</v>
      </c>
      <c r="C13" s="621" t="s">
        <v>1323</v>
      </c>
      <c r="D13" s="774">
        <f>12436369/10^5+10473583/10^5</f>
        <v>229.09952000000001</v>
      </c>
      <c r="E13" s="774">
        <f>18016056/10^5</f>
        <v>180.16056</v>
      </c>
      <c r="F13" s="775">
        <f>23000000/10^5</f>
        <v>230</v>
      </c>
    </row>
    <row r="14" spans="1:6" ht="15.75">
      <c r="A14" s="641" t="s">
        <v>1320</v>
      </c>
      <c r="B14" s="773">
        <v>19.600000000000001</v>
      </c>
      <c r="C14" s="621" t="s">
        <v>1323</v>
      </c>
      <c r="D14" s="774">
        <f>15045000/10^5</f>
        <v>150.44999999999999</v>
      </c>
      <c r="E14" s="774">
        <f>75000/10^5</f>
        <v>0.75</v>
      </c>
      <c r="F14" s="775">
        <f>75000/10^5</f>
        <v>0.75</v>
      </c>
    </row>
    <row r="15" spans="1:6" ht="15.75">
      <c r="A15" s="641" t="s">
        <v>1321</v>
      </c>
      <c r="B15" s="773">
        <v>19.600000000000001</v>
      </c>
      <c r="C15" s="621" t="s">
        <v>1323</v>
      </c>
      <c r="D15" s="774">
        <f>94400/10^5</f>
        <v>0.94399999999999995</v>
      </c>
      <c r="E15" s="774">
        <f>70800/10^5</f>
        <v>0.70799999999999996</v>
      </c>
      <c r="F15" s="775">
        <f>76700/10^5</f>
        <v>0.76700000000000002</v>
      </c>
    </row>
    <row r="16" spans="1:6" ht="15.75">
      <c r="A16" s="1239" t="s">
        <v>413</v>
      </c>
      <c r="B16" s="939"/>
      <c r="C16" s="780" t="s">
        <v>1323</v>
      </c>
      <c r="D16" s="781">
        <f>D13+D14+D15</f>
        <v>380.49352000000005</v>
      </c>
      <c r="E16" s="781">
        <f t="shared" ref="E16:F16" si="0">E13+E14+E15</f>
        <v>181.61856</v>
      </c>
      <c r="F16" s="1240">
        <f t="shared" si="0"/>
        <v>231.517</v>
      </c>
    </row>
    <row r="17" spans="1:6" ht="15.75">
      <c r="A17" s="636"/>
      <c r="B17" s="941"/>
      <c r="C17" s="800"/>
      <c r="D17" s="776"/>
      <c r="E17" s="776"/>
      <c r="F17" s="901"/>
    </row>
    <row r="18" spans="1:6" ht="15.75">
      <c r="A18" s="636"/>
      <c r="B18" s="941"/>
      <c r="C18" s="941"/>
      <c r="D18" s="941"/>
      <c r="E18" s="941"/>
      <c r="F18" s="637"/>
    </row>
    <row r="19" spans="1:6" ht="15.75">
      <c r="A19" s="636"/>
      <c r="B19" s="941"/>
      <c r="C19" s="941"/>
      <c r="D19" s="941"/>
      <c r="E19" s="941"/>
      <c r="F19" s="1241" t="s">
        <v>1015</v>
      </c>
    </row>
    <row r="20" spans="1:6" ht="16.5" thickBot="1">
      <c r="A20" s="644"/>
      <c r="B20" s="645"/>
      <c r="C20" s="645"/>
      <c r="D20" s="645"/>
      <c r="E20" s="645"/>
      <c r="F20" s="646"/>
    </row>
  </sheetData>
  <mergeCells count="6">
    <mergeCell ref="A4:F4"/>
    <mergeCell ref="E9:F9"/>
    <mergeCell ref="A10:A12"/>
    <mergeCell ref="C10:C12"/>
    <mergeCell ref="D10:F10"/>
    <mergeCell ref="B10:B12"/>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sheetPr>
    <pageSetUpPr fitToPage="1"/>
  </sheetPr>
  <dimension ref="A1:N47"/>
  <sheetViews>
    <sheetView showGridLines="0" zoomScaleSheetLayoutView="104" workbookViewId="0">
      <selection activeCell="E12" sqref="E12"/>
    </sheetView>
  </sheetViews>
  <sheetFormatPr defaultColWidth="20" defaultRowHeight="15.75"/>
  <cols>
    <col min="1" max="2" width="20" style="148"/>
    <col min="3" max="3" width="38.6640625" style="148" customWidth="1"/>
    <col min="4" max="16384" width="20" style="148"/>
  </cols>
  <sheetData>
    <row r="1" spans="2:13" ht="16.5" thickBot="1"/>
    <row r="2" spans="2:13">
      <c r="B2" s="428"/>
      <c r="C2" s="163"/>
      <c r="D2" s="163"/>
      <c r="E2" s="163"/>
      <c r="F2" s="163"/>
      <c r="G2" s="163"/>
      <c r="H2" s="468"/>
      <c r="I2" s="468"/>
      <c r="J2" s="468"/>
      <c r="K2" s="468"/>
      <c r="L2" s="469"/>
    </row>
    <row r="3" spans="2:13" ht="18.75">
      <c r="B3" s="404"/>
      <c r="C3" s="158"/>
      <c r="D3" s="158"/>
      <c r="E3" s="158"/>
      <c r="L3" s="454" t="s">
        <v>819</v>
      </c>
      <c r="M3" s="404"/>
    </row>
    <row r="4" spans="2:13">
      <c r="B4" s="404"/>
      <c r="C4" s="158"/>
      <c r="D4" s="158"/>
      <c r="E4" s="158"/>
      <c r="F4" s="158"/>
      <c r="G4" s="158"/>
      <c r="L4" s="405"/>
    </row>
    <row r="5" spans="2:13" ht="17.45" customHeight="1">
      <c r="B5" s="404"/>
      <c r="C5" s="2267" t="s">
        <v>818</v>
      </c>
      <c r="D5" s="2267"/>
      <c r="E5" s="2267"/>
      <c r="F5" s="2267"/>
      <c r="G5" s="2267"/>
      <c r="H5" s="2267"/>
      <c r="I5" s="2267"/>
      <c r="J5" s="2267"/>
      <c r="K5" s="2267"/>
      <c r="L5" s="2268"/>
    </row>
    <row r="6" spans="2:13">
      <c r="B6" s="404"/>
      <c r="C6" s="429"/>
      <c r="D6" s="167"/>
      <c r="E6" s="167"/>
      <c r="F6" s="167"/>
      <c r="G6" s="167"/>
      <c r="L6" s="405"/>
    </row>
    <row r="7" spans="2:13">
      <c r="B7" s="404"/>
      <c r="C7" s="2237" t="s">
        <v>445</v>
      </c>
      <c r="D7" s="2237"/>
      <c r="E7" s="2238" t="str">
        <f>'App III -liability '!C7</f>
        <v>The Singareni Collieries Company Limited</v>
      </c>
      <c r="F7" s="2238"/>
      <c r="G7" s="2238"/>
      <c r="L7" s="405"/>
    </row>
    <row r="8" spans="2:13" ht="15.6" customHeight="1">
      <c r="B8" s="404"/>
      <c r="C8" s="2237" t="s">
        <v>446</v>
      </c>
      <c r="D8" s="2237"/>
      <c r="E8" s="2238" t="str">
        <f>'App III -liability '!C8</f>
        <v>Singareni Thermal power Project</v>
      </c>
      <c r="F8" s="2238"/>
      <c r="G8" s="2238"/>
      <c r="L8" s="405"/>
    </row>
    <row r="9" spans="2:13" ht="15.6" customHeight="1">
      <c r="B9" s="404"/>
      <c r="C9" s="352"/>
      <c r="D9" s="352"/>
      <c r="E9" s="446"/>
      <c r="F9" s="446"/>
      <c r="G9" s="446"/>
      <c r="L9" s="405"/>
    </row>
    <row r="10" spans="2:13" ht="15.6" customHeight="1">
      <c r="B10" s="404"/>
      <c r="C10" s="2269" t="s">
        <v>849</v>
      </c>
      <c r="D10" s="2270"/>
      <c r="E10" s="2270"/>
      <c r="F10" s="2270"/>
      <c r="G10" s="2270"/>
      <c r="H10" s="2270"/>
      <c r="I10" s="2270"/>
      <c r="J10" s="2270"/>
      <c r="K10" s="2270"/>
      <c r="L10" s="2271"/>
    </row>
    <row r="11" spans="2:13" ht="35.450000000000003" customHeight="1">
      <c r="B11" s="404"/>
      <c r="C11" s="528" t="s">
        <v>649</v>
      </c>
      <c r="D11" s="234" t="s">
        <v>734</v>
      </c>
      <c r="E11" s="234" t="s">
        <v>400</v>
      </c>
      <c r="F11" s="234" t="s">
        <v>401</v>
      </c>
      <c r="G11" s="455" t="s">
        <v>402</v>
      </c>
      <c r="H11" s="462" t="s">
        <v>856</v>
      </c>
      <c r="I11" s="463" t="s">
        <v>857</v>
      </c>
      <c r="J11" s="462" t="s">
        <v>858</v>
      </c>
      <c r="K11" s="462" t="s">
        <v>859</v>
      </c>
      <c r="L11" s="464" t="s">
        <v>860</v>
      </c>
    </row>
    <row r="12" spans="2:13">
      <c r="B12" s="404"/>
      <c r="C12" s="316" t="s">
        <v>654</v>
      </c>
      <c r="D12" s="317">
        <v>7149.52</v>
      </c>
      <c r="E12" s="378">
        <f>D16</f>
        <v>6705.71</v>
      </c>
      <c r="F12" s="317">
        <f>E16</f>
        <v>6830.56</v>
      </c>
      <c r="G12" s="456">
        <f>F16</f>
        <v>6830.56</v>
      </c>
      <c r="H12" s="465"/>
      <c r="I12" s="465"/>
      <c r="J12" s="465"/>
      <c r="K12" s="467"/>
      <c r="L12" s="472"/>
    </row>
    <row r="13" spans="2:13">
      <c r="B13" s="404"/>
      <c r="C13" s="316" t="s">
        <v>652</v>
      </c>
      <c r="D13" s="315">
        <v>0</v>
      </c>
      <c r="E13" s="317">
        <v>124.85</v>
      </c>
      <c r="F13" s="317">
        <v>0</v>
      </c>
      <c r="G13" s="457">
        <v>744.68999999999994</v>
      </c>
      <c r="H13" s="465"/>
      <c r="I13" s="465"/>
      <c r="J13" s="465"/>
      <c r="K13" s="467"/>
      <c r="L13" s="472"/>
    </row>
    <row r="14" spans="2:13">
      <c r="B14" s="404"/>
      <c r="C14" s="316" t="s">
        <v>643</v>
      </c>
      <c r="D14" s="315">
        <v>448.54</v>
      </c>
      <c r="E14" s="315">
        <v>0</v>
      </c>
      <c r="F14" s="315">
        <v>0</v>
      </c>
      <c r="G14" s="457">
        <v>0</v>
      </c>
      <c r="H14" s="465"/>
      <c r="I14" s="465"/>
      <c r="J14" s="465"/>
      <c r="K14" s="467"/>
      <c r="L14" s="472"/>
    </row>
    <row r="15" spans="2:13">
      <c r="B15" s="404"/>
      <c r="C15" s="316" t="s">
        <v>651</v>
      </c>
      <c r="D15" s="315">
        <v>4.7300000000000004</v>
      </c>
      <c r="E15" s="315">
        <v>0</v>
      </c>
      <c r="F15" s="315">
        <v>0</v>
      </c>
      <c r="G15" s="457">
        <v>0</v>
      </c>
      <c r="H15" s="465"/>
      <c r="I15" s="465"/>
      <c r="J15" s="465"/>
      <c r="K15" s="467"/>
      <c r="L15" s="472"/>
    </row>
    <row r="16" spans="2:13">
      <c r="B16" s="404"/>
      <c r="C16" s="316" t="s">
        <v>653</v>
      </c>
      <c r="D16" s="317">
        <f>D12+D13-D14+D15</f>
        <v>6705.71</v>
      </c>
      <c r="E16" s="317">
        <f>E12+E13-E14+E15</f>
        <v>6830.56</v>
      </c>
      <c r="F16" s="317">
        <f>F12+F13-F14+F15</f>
        <v>6830.56</v>
      </c>
      <c r="G16" s="317">
        <f>G12+G13-G14+G15</f>
        <v>7575.25</v>
      </c>
      <c r="H16" s="465"/>
      <c r="I16" s="465"/>
      <c r="J16" s="465"/>
      <c r="K16" s="467"/>
      <c r="L16" s="472"/>
    </row>
    <row r="17" spans="1:14">
      <c r="B17" s="404"/>
      <c r="C17" s="431"/>
      <c r="D17" s="376"/>
      <c r="E17" s="377"/>
      <c r="F17" s="376"/>
      <c r="G17" s="377"/>
      <c r="L17" s="472"/>
    </row>
    <row r="18" spans="1:14" ht="21.75" customHeight="1">
      <c r="B18" s="443" t="s">
        <v>850</v>
      </c>
      <c r="C18" s="2269" t="s">
        <v>733</v>
      </c>
      <c r="D18" s="2270"/>
      <c r="E18" s="2270"/>
      <c r="F18" s="2270"/>
      <c r="G18" s="2270"/>
      <c r="H18" s="2270"/>
      <c r="I18" s="2270"/>
      <c r="J18" s="2270"/>
      <c r="K18" s="2270"/>
      <c r="L18" s="2271"/>
    </row>
    <row r="19" spans="1:14" ht="25.5">
      <c r="B19" s="443">
        <v>1</v>
      </c>
      <c r="C19" s="528" t="s">
        <v>649</v>
      </c>
      <c r="D19" s="234" t="s">
        <v>734</v>
      </c>
      <c r="E19" s="234" t="s">
        <v>400</v>
      </c>
      <c r="F19" s="234" t="s">
        <v>401</v>
      </c>
      <c r="G19" s="455" t="s">
        <v>402</v>
      </c>
      <c r="H19" s="462" t="s">
        <v>856</v>
      </c>
      <c r="I19" s="463" t="s">
        <v>857</v>
      </c>
      <c r="J19" s="462" t="s">
        <v>858</v>
      </c>
      <c r="K19" s="462" t="s">
        <v>859</v>
      </c>
      <c r="L19" s="464" t="s">
        <v>860</v>
      </c>
    </row>
    <row r="20" spans="1:14">
      <c r="B20" s="443">
        <v>2</v>
      </c>
      <c r="C20" s="316" t="s">
        <v>654</v>
      </c>
      <c r="D20" s="317">
        <f>'Form 5B '!E63-'Form 5B '!E37-'Form 5B '!E39</f>
        <v>7558.6299999999992</v>
      </c>
      <c r="E20" s="378">
        <f>D24</f>
        <v>7114.8199999999988</v>
      </c>
      <c r="F20" s="317">
        <f>E24</f>
        <v>5946.1129999999994</v>
      </c>
      <c r="G20" s="456">
        <f>F24</f>
        <v>7611.9458999999988</v>
      </c>
      <c r="H20" s="465"/>
      <c r="I20" s="465"/>
      <c r="J20" s="465"/>
      <c r="K20" s="467"/>
      <c r="L20" s="472"/>
    </row>
    <row r="21" spans="1:14">
      <c r="B21" s="443">
        <v>3</v>
      </c>
      <c r="C21" s="316" t="s">
        <v>652</v>
      </c>
      <c r="D21" s="315">
        <v>0</v>
      </c>
      <c r="E21" s="317">
        <f>'Form 5B '!F63-'Form 5B '!F37-'Form 5B '!F39</f>
        <v>-1191.7969999999993</v>
      </c>
      <c r="F21" s="317">
        <f>'Form 5B '!H63-'Form 5B '!H37-'Form 5B '!H39</f>
        <v>1455.5328999999995</v>
      </c>
      <c r="G21" s="457">
        <f>'Form 5B '!J63-'Form 5B '!J37-'Form 5B '!J39+'Form 5B '!C37+'Form 5B '!C39</f>
        <v>787.94413557901748</v>
      </c>
      <c r="H21" s="465"/>
      <c r="I21" s="465"/>
      <c r="J21" s="465"/>
      <c r="K21" s="467"/>
      <c r="L21" s="472"/>
    </row>
    <row r="22" spans="1:14">
      <c r="B22" s="443">
        <v>4</v>
      </c>
      <c r="C22" s="316" t="s">
        <v>643</v>
      </c>
      <c r="D22" s="315">
        <f>D14</f>
        <v>448.54</v>
      </c>
      <c r="E22" s="315">
        <f>D22-D23</f>
        <v>443.81</v>
      </c>
      <c r="F22" s="315">
        <f>E22-E23</f>
        <v>420.72000000000025</v>
      </c>
      <c r="G22" s="457">
        <f>F22-F23</f>
        <v>210.42000000000007</v>
      </c>
      <c r="H22" s="465"/>
      <c r="I22" s="465"/>
      <c r="J22" s="465"/>
      <c r="K22" s="467"/>
      <c r="L22" s="472"/>
    </row>
    <row r="23" spans="1:14">
      <c r="B23" s="443">
        <v>5</v>
      </c>
      <c r="C23" s="316" t="s">
        <v>651</v>
      </c>
      <c r="D23" s="315">
        <v>4.7300000000000004</v>
      </c>
      <c r="E23" s="315">
        <f>(D22-D23-'App III -liability '!E65)</f>
        <v>23.089999999999748</v>
      </c>
      <c r="F23" s="315">
        <f>D22-D23-E23-'App III -liability '!H65</f>
        <v>210.30000000000018</v>
      </c>
      <c r="G23" s="457">
        <f>D22-D23-E23-F23</f>
        <v>210.42000000000007</v>
      </c>
      <c r="H23" s="465"/>
      <c r="I23" s="465"/>
      <c r="J23" s="465"/>
      <c r="K23" s="467"/>
      <c r="L23" s="472"/>
    </row>
    <row r="24" spans="1:14" ht="16.5" thickBot="1">
      <c r="A24" s="148" t="s">
        <v>266</v>
      </c>
      <c r="B24" s="444">
        <v>6</v>
      </c>
      <c r="C24" s="316" t="s">
        <v>653</v>
      </c>
      <c r="D24" s="317">
        <f>D20+D21-D22+D23</f>
        <v>7114.8199999999988</v>
      </c>
      <c r="E24" s="317">
        <f>E20+E21+E23</f>
        <v>5946.1129999999994</v>
      </c>
      <c r="F24" s="317">
        <f>F20+F21+F23</f>
        <v>7611.9458999999988</v>
      </c>
      <c r="G24" s="317">
        <f>G20+G21+G23</f>
        <v>8610.3100355790157</v>
      </c>
      <c r="H24" s="465"/>
      <c r="I24" s="465"/>
      <c r="J24" s="465"/>
      <c r="K24" s="467"/>
      <c r="L24" s="472"/>
    </row>
    <row r="25" spans="1:14" ht="29.25" customHeight="1">
      <c r="B25" s="432"/>
      <c r="C25" s="2272" t="s">
        <v>735</v>
      </c>
      <c r="D25" s="2272"/>
      <c r="E25" s="2272"/>
      <c r="F25" s="2272"/>
      <c r="G25" s="2272"/>
      <c r="H25" s="2272"/>
      <c r="I25" s="2272"/>
      <c r="J25" s="2272"/>
      <c r="K25" s="2272"/>
      <c r="L25" s="2273"/>
      <c r="M25" s="470"/>
    </row>
    <row r="26" spans="1:14" ht="30.75" hidden="1" customHeight="1">
      <c r="B26" s="404"/>
      <c r="C26" s="470"/>
      <c r="D26" s="470"/>
      <c r="E26" s="470"/>
      <c r="F26" s="470"/>
      <c r="G26" s="470"/>
      <c r="H26" s="470"/>
      <c r="I26" s="470"/>
      <c r="J26" s="470"/>
      <c r="K26" s="470"/>
      <c r="L26" s="473"/>
      <c r="M26" s="471"/>
    </row>
    <row r="27" spans="1:14" ht="31.15" customHeight="1">
      <c r="B27" s="443" t="s">
        <v>850</v>
      </c>
      <c r="C27" s="2278" t="s">
        <v>851</v>
      </c>
      <c r="D27" s="2279"/>
      <c r="E27" s="2279"/>
      <c r="F27" s="2279"/>
      <c r="G27" s="2279"/>
      <c r="H27" s="2279"/>
      <c r="I27" s="2279"/>
      <c r="J27" s="2279"/>
      <c r="K27" s="2279"/>
      <c r="L27" s="2280"/>
    </row>
    <row r="28" spans="1:14">
      <c r="B28" s="443">
        <v>1</v>
      </c>
      <c r="C28" s="430" t="s">
        <v>738</v>
      </c>
      <c r="D28" s="354">
        <f>'Form 5B '!E63</f>
        <v>7884.6799999999994</v>
      </c>
      <c r="E28" s="379">
        <f>'Form 5B '!G63</f>
        <v>6770.3107000000009</v>
      </c>
      <c r="F28" s="379">
        <f>'Form 5B '!I63</f>
        <v>8367.7630000000008</v>
      </c>
      <c r="G28" s="458">
        <f>'Form 5B '!C63</f>
        <v>8780</v>
      </c>
      <c r="H28" s="465"/>
      <c r="I28" s="465"/>
      <c r="J28" s="465"/>
      <c r="K28" s="465"/>
      <c r="L28" s="472"/>
    </row>
    <row r="29" spans="1:14" ht="31.5">
      <c r="B29" s="443">
        <v>2</v>
      </c>
      <c r="C29" s="430" t="s">
        <v>739</v>
      </c>
      <c r="D29" s="385">
        <f>D28-D24</f>
        <v>769.86000000000058</v>
      </c>
      <c r="E29" s="385">
        <f>E28-E24</f>
        <v>824.19770000000153</v>
      </c>
      <c r="F29" s="385">
        <f>F28-F24</f>
        <v>755.81710000000203</v>
      </c>
      <c r="G29" s="459">
        <f>G28-G24</f>
        <v>169.68996442098432</v>
      </c>
      <c r="H29" s="465"/>
      <c r="I29" s="465"/>
      <c r="J29" s="465"/>
      <c r="K29" s="465"/>
      <c r="L29" s="472"/>
    </row>
    <row r="30" spans="1:14">
      <c r="B30" s="443">
        <v>3</v>
      </c>
      <c r="C30" s="430" t="s">
        <v>736</v>
      </c>
      <c r="D30" s="386">
        <f>'Form 5B '!E37</f>
        <v>245.31</v>
      </c>
      <c r="E30" s="387">
        <f>'Form 5B '!G37</f>
        <v>250.3777</v>
      </c>
      <c r="F30" s="387">
        <f>'Form 5B '!I37</f>
        <v>274.52999999999997</v>
      </c>
      <c r="G30" s="460">
        <v>0</v>
      </c>
      <c r="H30" s="465"/>
      <c r="I30" s="465"/>
      <c r="J30" s="465"/>
      <c r="K30" s="465"/>
      <c r="L30" s="472"/>
    </row>
    <row r="31" spans="1:14">
      <c r="B31" s="443">
        <v>4</v>
      </c>
      <c r="C31" s="430" t="s">
        <v>737</v>
      </c>
      <c r="D31" s="386">
        <f>'Form 5B '!E39</f>
        <v>80.739999999999995</v>
      </c>
      <c r="E31" s="387">
        <f>'Form 5B '!G39</f>
        <v>153.1</v>
      </c>
      <c r="F31" s="387">
        <f>'Form 5B '!I39</f>
        <v>270.87</v>
      </c>
      <c r="G31" s="460">
        <v>0</v>
      </c>
      <c r="H31" s="465"/>
      <c r="I31" s="465"/>
      <c r="J31" s="465"/>
      <c r="K31" s="465"/>
      <c r="L31" s="472"/>
    </row>
    <row r="32" spans="1:14">
      <c r="B32" s="443">
        <v>5</v>
      </c>
      <c r="C32" s="430" t="s">
        <v>643</v>
      </c>
      <c r="D32" s="386">
        <f>D22</f>
        <v>448.54</v>
      </c>
      <c r="E32" s="388">
        <f>D32-D33</f>
        <v>443.81</v>
      </c>
      <c r="F32" s="389">
        <f>E32-E33</f>
        <v>420.72000000000025</v>
      </c>
      <c r="G32" s="460">
        <f>F32-F33</f>
        <v>210.42000000000007</v>
      </c>
      <c r="H32" s="465"/>
      <c r="I32" s="465"/>
      <c r="J32" s="465"/>
      <c r="K32" s="465"/>
      <c r="L32" s="472"/>
      <c r="N32" s="466">
        <f>F32-F33</f>
        <v>210.42000000000007</v>
      </c>
    </row>
    <row r="33" spans="2:12">
      <c r="B33" s="443">
        <v>6</v>
      </c>
      <c r="C33" s="430" t="s">
        <v>651</v>
      </c>
      <c r="D33" s="388">
        <f>D23</f>
        <v>4.7300000000000004</v>
      </c>
      <c r="E33" s="387">
        <f>E23</f>
        <v>23.089999999999748</v>
      </c>
      <c r="F33" s="387">
        <f>F23</f>
        <v>210.30000000000018</v>
      </c>
      <c r="G33" s="460">
        <f>G23</f>
        <v>210.42000000000007</v>
      </c>
      <c r="H33" s="465"/>
      <c r="I33" s="465"/>
      <c r="J33" s="465"/>
      <c r="K33" s="465"/>
      <c r="L33" s="472"/>
    </row>
    <row r="34" spans="2:12">
      <c r="B34" s="445">
        <v>7</v>
      </c>
      <c r="C34" s="430" t="s">
        <v>852</v>
      </c>
      <c r="D34" s="380">
        <f>D30+D31+D32-D33</f>
        <v>769.86</v>
      </c>
      <c r="E34" s="380">
        <f>E30+E31+E32-E33</f>
        <v>824.1977000000004</v>
      </c>
      <c r="F34" s="380">
        <f>F30+F31+F32-F33</f>
        <v>755.82</v>
      </c>
      <c r="G34" s="461">
        <f>G30+G31+G32-G33</f>
        <v>0</v>
      </c>
      <c r="H34" s="465"/>
      <c r="I34" s="465"/>
      <c r="J34" s="465"/>
      <c r="K34" s="465"/>
      <c r="L34" s="472"/>
    </row>
    <row r="35" spans="2:12">
      <c r="B35" s="404"/>
      <c r="C35" s="431"/>
      <c r="D35" s="403"/>
      <c r="E35" s="376"/>
      <c r="F35" s="376"/>
      <c r="G35" s="376"/>
      <c r="L35" s="405"/>
    </row>
    <row r="36" spans="2:12">
      <c r="B36" s="404"/>
      <c r="C36" s="431"/>
      <c r="D36" s="403"/>
      <c r="E36" s="376"/>
      <c r="F36" s="376"/>
      <c r="G36" s="376"/>
      <c r="L36" s="405"/>
    </row>
    <row r="37" spans="2:12" ht="15.6" customHeight="1">
      <c r="B37" s="404"/>
      <c r="C37" s="2276" t="s">
        <v>842</v>
      </c>
      <c r="D37" s="2277"/>
      <c r="E37" s="2277"/>
      <c r="F37" s="2277"/>
      <c r="G37" s="2277"/>
      <c r="L37" s="405"/>
    </row>
    <row r="38" spans="2:12">
      <c r="B38" s="404"/>
      <c r="C38" s="158"/>
      <c r="D38" s="158"/>
      <c r="E38" s="158"/>
      <c r="F38" s="158"/>
      <c r="G38" s="158"/>
      <c r="L38" s="405"/>
    </row>
    <row r="39" spans="2:12">
      <c r="B39" s="404"/>
      <c r="C39" s="158"/>
      <c r="D39" s="158"/>
      <c r="E39" s="158"/>
      <c r="F39" s="158"/>
      <c r="G39" s="158"/>
      <c r="L39" s="405"/>
    </row>
    <row r="40" spans="2:12" ht="60" customHeight="1">
      <c r="B40" s="404"/>
      <c r="C40" s="2274" t="s">
        <v>376</v>
      </c>
      <c r="D40" s="381" t="s">
        <v>742</v>
      </c>
      <c r="E40" s="381" t="s">
        <v>740</v>
      </c>
      <c r="F40" s="381" t="s">
        <v>741</v>
      </c>
      <c r="G40" s="327" t="s">
        <v>740</v>
      </c>
      <c r="L40" s="405"/>
    </row>
    <row r="41" spans="2:12">
      <c r="B41" s="404"/>
      <c r="C41" s="2275"/>
      <c r="D41" s="382">
        <f>'Form 5B '!E63-D14+D15</f>
        <v>7440.869999999999</v>
      </c>
      <c r="E41" s="382">
        <f>D24</f>
        <v>7114.8199999999988</v>
      </c>
      <c r="F41" s="383">
        <f>'Form 5B '!D63/2</f>
        <v>3885.8150000000001</v>
      </c>
      <c r="G41" s="382">
        <f>E41/D41*F41</f>
        <v>3715.5432467305568</v>
      </c>
      <c r="L41" s="405"/>
    </row>
    <row r="42" spans="2:12">
      <c r="B42" s="404"/>
      <c r="C42" s="431"/>
      <c r="D42" s="403"/>
      <c r="E42" s="376"/>
      <c r="F42" s="376"/>
      <c r="G42" s="376"/>
      <c r="L42" s="405"/>
    </row>
    <row r="43" spans="2:12">
      <c r="B43" s="404"/>
      <c r="L43" s="405"/>
    </row>
    <row r="44" spans="2:12">
      <c r="B44" s="404"/>
      <c r="L44" s="405"/>
    </row>
    <row r="45" spans="2:12" ht="18.75">
      <c r="B45" s="404"/>
      <c r="K45" s="409" t="s">
        <v>700</v>
      </c>
      <c r="L45" s="405"/>
    </row>
    <row r="46" spans="2:12">
      <c r="B46" s="404"/>
      <c r="L46" s="405"/>
    </row>
    <row r="47" spans="2:12" ht="16.5" thickBot="1">
      <c r="B47" s="406"/>
      <c r="C47" s="407"/>
      <c r="D47" s="407"/>
      <c r="E47" s="407"/>
      <c r="F47" s="407"/>
      <c r="G47" s="407"/>
      <c r="H47" s="407"/>
      <c r="I47" s="407"/>
      <c r="J47" s="407"/>
      <c r="K47" s="407"/>
      <c r="L47" s="408"/>
    </row>
  </sheetData>
  <mergeCells count="11">
    <mergeCell ref="C10:L10"/>
    <mergeCell ref="C25:L25"/>
    <mergeCell ref="C40:C41"/>
    <mergeCell ref="C37:G37"/>
    <mergeCell ref="C18:L18"/>
    <mergeCell ref="C27:L27"/>
    <mergeCell ref="C7:D7"/>
    <mergeCell ref="E7:G7"/>
    <mergeCell ref="C8:D8"/>
    <mergeCell ref="E8:G8"/>
    <mergeCell ref="C5:L5"/>
  </mergeCells>
  <printOptions horizontalCentered="1"/>
  <pageMargins left="0.70866141732283472" right="0.70866141732283472" top="0.74803149606299213" bottom="0.74803149606299213" header="0.31496062992125984" footer="0.31496062992125984"/>
  <pageSetup paperSize="9" scale="57" orientation="landscape" verticalDpi="300" r:id="rId1"/>
  <headerFooter alignWithMargins="0"/>
</worksheet>
</file>

<file path=xl/worksheets/sheet43.xml><?xml version="1.0" encoding="utf-8"?>
<worksheet xmlns="http://schemas.openxmlformats.org/spreadsheetml/2006/main" xmlns:r="http://schemas.openxmlformats.org/officeDocument/2006/relationships">
  <sheetPr>
    <tabColor theme="8" tint="0.39997558519241921"/>
    <pageSetUpPr fitToPage="1"/>
  </sheetPr>
  <dimension ref="A1:AP118"/>
  <sheetViews>
    <sheetView topLeftCell="A25" workbookViewId="0">
      <selection activeCell="J19" sqref="J19"/>
    </sheetView>
  </sheetViews>
  <sheetFormatPr defaultColWidth="9.33203125" defaultRowHeight="15"/>
  <cols>
    <col min="1" max="1" width="15.5" style="158" customWidth="1"/>
    <col min="2" max="2" width="22.5" style="158" customWidth="1"/>
    <col min="3" max="3" width="14" style="158" hidden="1" customWidth="1"/>
    <col min="4" max="4" width="20.33203125" style="158" hidden="1" customWidth="1"/>
    <col min="5" max="5" width="11.5" style="158" customWidth="1"/>
    <col min="6" max="6" width="13.5" style="158" customWidth="1"/>
    <col min="7" max="7" width="11.83203125" style="158" customWidth="1"/>
    <col min="8" max="8" width="12.5" style="158" customWidth="1"/>
    <col min="9" max="9" width="11.6640625" style="158" customWidth="1"/>
    <col min="10" max="16" width="13.5" style="158" customWidth="1"/>
    <col min="17" max="17" width="11.33203125" style="158" customWidth="1"/>
    <col min="18" max="18" width="13.6640625" style="158" customWidth="1"/>
    <col min="19" max="19" width="13" style="158" customWidth="1"/>
    <col min="20" max="20" width="11.33203125" style="158" customWidth="1"/>
    <col min="21" max="21" width="13.1640625" style="158" customWidth="1"/>
    <col min="22" max="22" width="13" style="158" customWidth="1"/>
    <col min="23" max="23" width="11.33203125" style="158" customWidth="1"/>
    <col min="24" max="24" width="13.1640625" style="158" customWidth="1"/>
    <col min="25" max="25" width="13" style="158" customWidth="1"/>
    <col min="26" max="26" width="10.6640625" style="158" bestFit="1" customWidth="1"/>
    <col min="27" max="27" width="14.33203125" style="158" customWidth="1"/>
    <col min="28" max="28" width="13" style="158" customWidth="1"/>
    <col min="29" max="29" width="11.33203125" style="158" customWidth="1"/>
    <col min="30" max="30" width="13.33203125" style="158" customWidth="1"/>
    <col min="31" max="31" width="13" style="158" customWidth="1"/>
    <col min="32" max="16384" width="9.33203125" style="158"/>
  </cols>
  <sheetData>
    <row r="1" spans="1:42" ht="15.75" thickBot="1">
      <c r="Q1" s="486"/>
      <c r="R1" s="486"/>
    </row>
    <row r="2" spans="1:42" hidden="1">
      <c r="A2" s="162"/>
      <c r="B2" s="163"/>
      <c r="C2" s="163"/>
      <c r="D2" s="163"/>
      <c r="E2" s="163"/>
      <c r="F2" s="163"/>
      <c r="G2" s="163"/>
      <c r="H2" s="163"/>
      <c r="I2" s="163"/>
      <c r="J2" s="163"/>
      <c r="K2" s="163"/>
      <c r="L2" s="163"/>
      <c r="M2" s="163"/>
      <c r="N2" s="163"/>
      <c r="O2" s="163"/>
      <c r="P2" s="163"/>
    </row>
    <row r="3" spans="1:42" ht="19.899999999999999" hidden="1" customHeight="1">
      <c r="A3" s="164"/>
      <c r="N3" s="2281" t="s">
        <v>642</v>
      </c>
      <c r="O3" s="2281"/>
      <c r="P3" s="2281"/>
    </row>
    <row r="4" spans="1:42" hidden="1">
      <c r="A4" s="164"/>
    </row>
    <row r="5" spans="1:42" ht="20.25" hidden="1">
      <c r="A5" s="2231" t="s">
        <v>502</v>
      </c>
      <c r="B5" s="2282"/>
      <c r="C5" s="2282"/>
      <c r="D5" s="2282"/>
      <c r="E5" s="2282"/>
      <c r="F5" s="2282"/>
      <c r="G5" s="2282"/>
      <c r="H5" s="2282"/>
      <c r="I5" s="2282"/>
      <c r="J5" s="2282"/>
      <c r="K5" s="2282"/>
      <c r="L5" s="2282"/>
      <c r="M5" s="2282"/>
      <c r="N5" s="2282"/>
      <c r="O5" s="2282"/>
      <c r="P5" s="2282"/>
    </row>
    <row r="6" spans="1:42" hidden="1">
      <c r="A6" s="173"/>
      <c r="B6" s="167"/>
      <c r="C6" s="167"/>
      <c r="D6" s="167"/>
      <c r="E6" s="167"/>
      <c r="F6" s="167"/>
      <c r="G6" s="167"/>
      <c r="H6" s="167"/>
      <c r="I6" s="167"/>
      <c r="J6" s="167"/>
      <c r="K6" s="167"/>
      <c r="L6" s="167"/>
      <c r="M6" s="167"/>
      <c r="N6" s="167"/>
      <c r="O6" s="167"/>
      <c r="P6" s="167"/>
    </row>
    <row r="7" spans="1:42" ht="25.5" hidden="1" customHeight="1">
      <c r="A7" s="2236" t="s">
        <v>445</v>
      </c>
      <c r="B7" s="2237"/>
      <c r="C7" s="2283" t="s">
        <v>417</v>
      </c>
      <c r="D7" s="2283"/>
      <c r="E7" s="2283"/>
      <c r="F7" s="2283"/>
      <c r="G7" s="2283"/>
      <c r="H7" s="2283"/>
      <c r="I7" s="2283"/>
      <c r="J7" s="2283"/>
      <c r="K7" s="2283"/>
      <c r="L7" s="2283"/>
      <c r="M7" s="2283"/>
      <c r="N7" s="2283"/>
      <c r="O7" s="2283"/>
      <c r="P7" s="2283"/>
    </row>
    <row r="8" spans="1:42" ht="29.25" hidden="1" customHeight="1">
      <c r="A8" s="2236" t="s">
        <v>446</v>
      </c>
      <c r="B8" s="2237"/>
      <c r="C8" s="2283" t="s">
        <v>415</v>
      </c>
      <c r="D8" s="2283"/>
      <c r="E8" s="2283"/>
      <c r="F8" s="2283"/>
      <c r="G8" s="2283"/>
      <c r="H8" s="2283"/>
      <c r="I8" s="2283"/>
      <c r="J8" s="2283"/>
      <c r="K8" s="2283"/>
      <c r="L8" s="2283"/>
      <c r="M8" s="2283"/>
      <c r="N8" s="2283"/>
      <c r="O8" s="2283"/>
      <c r="P8" s="2283"/>
    </row>
    <row r="9" spans="1:42" ht="19.5" hidden="1" customHeight="1">
      <c r="A9" s="175"/>
      <c r="B9" s="160"/>
      <c r="C9" s="265"/>
      <c r="D9" s="265"/>
      <c r="E9" s="265"/>
      <c r="F9" s="265"/>
      <c r="G9" s="265"/>
      <c r="H9" s="265"/>
      <c r="I9" s="265"/>
      <c r="J9" s="265"/>
      <c r="K9" s="265"/>
      <c r="L9" s="265"/>
      <c r="M9" s="265"/>
      <c r="N9" s="265"/>
      <c r="O9" s="265"/>
      <c r="P9" s="265"/>
    </row>
    <row r="10" spans="1:42" ht="21.6" customHeight="1">
      <c r="A10" s="2239" t="s">
        <v>375</v>
      </c>
      <c r="B10" s="2241" t="s">
        <v>447</v>
      </c>
      <c r="C10" s="2292" t="s">
        <v>448</v>
      </c>
      <c r="D10" s="2292"/>
      <c r="E10" s="2292"/>
      <c r="F10" s="2292"/>
      <c r="G10" s="2292"/>
      <c r="H10" s="2292"/>
      <c r="I10" s="2292"/>
      <c r="J10" s="2292"/>
      <c r="K10" s="2292"/>
      <c r="L10" s="2292"/>
      <c r="M10" s="2292"/>
      <c r="N10" s="2292"/>
      <c r="O10" s="2292"/>
      <c r="P10" s="2292"/>
      <c r="Q10" s="487"/>
      <c r="R10" s="163"/>
      <c r="S10" s="2286"/>
      <c r="T10" s="2286"/>
      <c r="U10" s="163"/>
      <c r="V10" s="163"/>
      <c r="W10" s="163"/>
      <c r="X10" s="163"/>
      <c r="Y10" s="163"/>
      <c r="Z10" s="163"/>
      <c r="AA10" s="163"/>
      <c r="AB10" s="163"/>
      <c r="AC10" s="163"/>
      <c r="AD10" s="163"/>
      <c r="AE10" s="299"/>
    </row>
    <row r="11" spans="1:42" ht="61.9" customHeight="1">
      <c r="A11" s="2240"/>
      <c r="B11" s="2242"/>
      <c r="C11" s="354" t="s">
        <v>641</v>
      </c>
      <c r="D11" s="354" t="s">
        <v>640</v>
      </c>
      <c r="E11" s="2287" t="s">
        <v>655</v>
      </c>
      <c r="F11" s="2287"/>
      <c r="G11" s="2287"/>
      <c r="H11" s="2287"/>
      <c r="I11" s="2287"/>
      <c r="J11" s="2287"/>
      <c r="K11" s="2287"/>
      <c r="L11" s="2287"/>
      <c r="M11" s="2287"/>
      <c r="N11" s="2287"/>
      <c r="O11" s="2287"/>
      <c r="P11" s="2287"/>
      <c r="AE11" s="165"/>
    </row>
    <row r="12" spans="1:42">
      <c r="A12" s="185">
        <v>-1</v>
      </c>
      <c r="B12" s="262">
        <v>-2</v>
      </c>
      <c r="C12" s="262">
        <v>-3</v>
      </c>
      <c r="D12" s="262">
        <v>-4</v>
      </c>
      <c r="E12" s="2293">
        <v>-5</v>
      </c>
      <c r="F12" s="2293"/>
      <c r="G12" s="2293"/>
      <c r="H12" s="262">
        <v>-6</v>
      </c>
      <c r="I12" s="262"/>
      <c r="J12" s="262"/>
      <c r="K12" s="262">
        <v>-7</v>
      </c>
      <c r="L12" s="262"/>
      <c r="M12" s="262"/>
      <c r="N12" s="262">
        <v>-8</v>
      </c>
      <c r="O12" s="262"/>
      <c r="P12" s="262"/>
      <c r="Q12" s="262">
        <v>-8</v>
      </c>
      <c r="R12" s="262"/>
      <c r="S12" s="262"/>
      <c r="T12" s="262">
        <v>-8</v>
      </c>
      <c r="U12" s="262"/>
      <c r="V12" s="368"/>
      <c r="W12" s="368">
        <v>-8</v>
      </c>
      <c r="X12" s="262"/>
      <c r="Y12" s="262"/>
      <c r="Z12" s="262">
        <v>-8</v>
      </c>
      <c r="AA12" s="262"/>
      <c r="AB12" s="262"/>
      <c r="AC12" s="262">
        <v>-8</v>
      </c>
      <c r="AD12" s="262"/>
      <c r="AE12" s="186"/>
    </row>
    <row r="13" spans="1:42" ht="36">
      <c r="A13" s="185"/>
      <c r="B13" s="262"/>
      <c r="C13" s="262"/>
      <c r="D13" s="262"/>
      <c r="E13" s="262" t="s">
        <v>656</v>
      </c>
      <c r="F13" s="262" t="s">
        <v>854</v>
      </c>
      <c r="G13" s="262" t="s">
        <v>855</v>
      </c>
      <c r="H13" s="262" t="s">
        <v>656</v>
      </c>
      <c r="I13" s="262" t="s">
        <v>854</v>
      </c>
      <c r="J13" s="262" t="s">
        <v>855</v>
      </c>
      <c r="K13" s="262" t="s">
        <v>656</v>
      </c>
      <c r="L13" s="262" t="s">
        <v>854</v>
      </c>
      <c r="M13" s="262" t="s">
        <v>855</v>
      </c>
      <c r="N13" s="262" t="s">
        <v>656</v>
      </c>
      <c r="O13" s="262" t="s">
        <v>854</v>
      </c>
      <c r="P13" s="262" t="s">
        <v>855</v>
      </c>
      <c r="Q13" s="262" t="s">
        <v>656</v>
      </c>
      <c r="R13" s="262" t="s">
        <v>854</v>
      </c>
      <c r="S13" s="262" t="s">
        <v>855</v>
      </c>
      <c r="T13" s="262" t="s">
        <v>656</v>
      </c>
      <c r="U13" s="262" t="s">
        <v>854</v>
      </c>
      <c r="V13" s="368" t="s">
        <v>855</v>
      </c>
      <c r="W13" s="490" t="s">
        <v>656</v>
      </c>
      <c r="X13" s="262" t="s">
        <v>854</v>
      </c>
      <c r="Y13" s="262" t="s">
        <v>855</v>
      </c>
      <c r="Z13" s="262" t="s">
        <v>656</v>
      </c>
      <c r="AA13" s="262" t="s">
        <v>854</v>
      </c>
      <c r="AB13" s="262" t="s">
        <v>855</v>
      </c>
      <c r="AC13" s="262" t="s">
        <v>656</v>
      </c>
      <c r="AD13" s="262" t="s">
        <v>854</v>
      </c>
      <c r="AE13" s="186" t="s">
        <v>855</v>
      </c>
    </row>
    <row r="14" spans="1:42">
      <c r="A14" s="176">
        <v>1</v>
      </c>
      <c r="B14" s="187" t="s">
        <v>450</v>
      </c>
      <c r="C14" s="187"/>
      <c r="D14" s="187"/>
      <c r="E14" s="2288" t="s">
        <v>634</v>
      </c>
      <c r="F14" s="2288"/>
      <c r="G14" s="2288"/>
      <c r="H14" s="2288" t="s">
        <v>635</v>
      </c>
      <c r="I14" s="2288"/>
      <c r="J14" s="2288"/>
      <c r="K14" s="2288" t="s">
        <v>517</v>
      </c>
      <c r="L14" s="2288"/>
      <c r="M14" s="2288"/>
      <c r="N14" s="2288" t="s">
        <v>518</v>
      </c>
      <c r="O14" s="2288"/>
      <c r="P14" s="2288"/>
      <c r="Q14" s="2288" t="s">
        <v>864</v>
      </c>
      <c r="R14" s="2288"/>
      <c r="S14" s="2288"/>
      <c r="T14" s="2288" t="s">
        <v>865</v>
      </c>
      <c r="U14" s="2288"/>
      <c r="V14" s="2289"/>
      <c r="W14" s="2288" t="s">
        <v>866</v>
      </c>
      <c r="X14" s="2288"/>
      <c r="Y14" s="2288"/>
      <c r="Z14" s="2288" t="s">
        <v>867</v>
      </c>
      <c r="AA14" s="2288"/>
      <c r="AB14" s="2288"/>
      <c r="AC14" s="2288" t="s">
        <v>868</v>
      </c>
      <c r="AD14" s="2288"/>
      <c r="AE14" s="2290"/>
    </row>
    <row r="15" spans="1:42" ht="14.45" customHeight="1" thickBot="1">
      <c r="A15" s="266">
        <v>1.1000000000000001</v>
      </c>
      <c r="B15" s="296" t="s">
        <v>451</v>
      </c>
      <c r="C15" s="296">
        <v>2998</v>
      </c>
      <c r="D15" s="168"/>
      <c r="E15" s="168"/>
      <c r="F15" s="168"/>
      <c r="G15" s="168"/>
      <c r="H15" s="168"/>
      <c r="I15" s="168"/>
      <c r="J15" s="168"/>
      <c r="K15" s="168"/>
      <c r="L15" s="168"/>
      <c r="M15" s="168"/>
      <c r="N15" s="168"/>
      <c r="O15" s="168"/>
      <c r="P15" s="168"/>
      <c r="Q15" s="275"/>
      <c r="R15" s="275"/>
      <c r="S15" s="275"/>
      <c r="T15" s="275"/>
      <c r="U15" s="275"/>
      <c r="V15" s="485"/>
      <c r="W15" s="275"/>
      <c r="X15" s="275"/>
      <c r="Y15" s="275"/>
      <c r="Z15" s="275"/>
      <c r="AA15" s="275"/>
      <c r="AB15" s="275"/>
      <c r="AC15" s="275"/>
      <c r="AD15" s="275"/>
      <c r="AE15" s="302"/>
      <c r="AG15" s="2291" t="s">
        <v>648</v>
      </c>
      <c r="AH15" s="2291"/>
      <c r="AI15" s="2291"/>
      <c r="AJ15" s="2291"/>
      <c r="AK15" s="2291"/>
    </row>
    <row r="16" spans="1:42" ht="16.149999999999999" customHeight="1">
      <c r="A16" s="266">
        <v>1.2</v>
      </c>
      <c r="B16" s="296" t="s">
        <v>452</v>
      </c>
      <c r="C16" s="267">
        <v>388</v>
      </c>
      <c r="D16" s="267"/>
      <c r="E16" s="267"/>
      <c r="F16" s="267"/>
      <c r="G16" s="267"/>
      <c r="H16" s="267"/>
      <c r="I16" s="267"/>
      <c r="J16" s="267"/>
      <c r="K16" s="267"/>
      <c r="L16" s="267"/>
      <c r="M16" s="267"/>
      <c r="N16" s="267"/>
      <c r="O16" s="267"/>
      <c r="P16" s="267"/>
      <c r="Q16" s="275"/>
      <c r="R16" s="275"/>
      <c r="S16" s="275"/>
      <c r="T16" s="275"/>
      <c r="U16" s="275"/>
      <c r="V16" s="485"/>
      <c r="W16" s="275"/>
      <c r="X16" s="275"/>
      <c r="Y16" s="275"/>
      <c r="Z16" s="275"/>
      <c r="AA16" s="275"/>
      <c r="AB16" s="275"/>
      <c r="AC16" s="275"/>
      <c r="AD16" s="275"/>
      <c r="AE16" s="302"/>
      <c r="AG16" s="309" t="s">
        <v>649</v>
      </c>
      <c r="AH16" s="310" t="str">
        <f>E14</f>
        <v>UPTO COD of UNIT 2</v>
      </c>
      <c r="AI16" s="310" t="str">
        <f>H14</f>
        <v>COD 2 to 31.03.2017</v>
      </c>
      <c r="AJ16" s="310" t="str">
        <f>K14</f>
        <v>2017-18</v>
      </c>
      <c r="AK16" s="311" t="str">
        <f>N14</f>
        <v>2018-19</v>
      </c>
      <c r="AL16" s="310" t="s">
        <v>864</v>
      </c>
      <c r="AM16" s="311" t="s">
        <v>865</v>
      </c>
      <c r="AN16" s="311" t="s">
        <v>866</v>
      </c>
      <c r="AO16" s="311" t="s">
        <v>867</v>
      </c>
      <c r="AP16" s="311" t="s">
        <v>868</v>
      </c>
    </row>
    <row r="17" spans="1:42" ht="45">
      <c r="A17" s="266">
        <v>1.3</v>
      </c>
      <c r="B17" s="296" t="s">
        <v>453</v>
      </c>
      <c r="C17" s="267">
        <v>76</v>
      </c>
      <c r="D17" s="267"/>
      <c r="E17" s="267"/>
      <c r="F17" s="267"/>
      <c r="G17" s="267"/>
      <c r="H17" s="267"/>
      <c r="I17" s="267"/>
      <c r="J17" s="267"/>
      <c r="K17" s="267"/>
      <c r="L17" s="267"/>
      <c r="M17" s="267"/>
      <c r="N17" s="267"/>
      <c r="O17" s="267"/>
      <c r="P17" s="267"/>
      <c r="Q17" s="275"/>
      <c r="R17" s="275"/>
      <c r="S17" s="275"/>
      <c r="T17" s="275"/>
      <c r="U17" s="275"/>
      <c r="V17" s="485"/>
      <c r="W17" s="275"/>
      <c r="X17" s="275"/>
      <c r="Y17" s="275"/>
      <c r="Z17" s="275"/>
      <c r="AA17" s="275"/>
      <c r="AB17" s="275"/>
      <c r="AC17" s="275"/>
      <c r="AD17" s="275"/>
      <c r="AE17" s="302"/>
      <c r="AG17" s="301" t="s">
        <v>646</v>
      </c>
      <c r="AH17" s="275"/>
      <c r="AI17" s="275"/>
      <c r="AJ17" s="275"/>
      <c r="AK17" s="275"/>
      <c r="AL17" s="275"/>
      <c r="AM17" s="275"/>
      <c r="AN17" s="275"/>
      <c r="AO17" s="275"/>
      <c r="AP17" s="302"/>
    </row>
    <row r="18" spans="1:42">
      <c r="A18" s="266">
        <v>1.4</v>
      </c>
      <c r="B18" s="296" t="s">
        <v>454</v>
      </c>
      <c r="C18" s="267">
        <v>610</v>
      </c>
      <c r="D18" s="267"/>
      <c r="E18" s="267"/>
      <c r="F18" s="267"/>
      <c r="G18" s="267"/>
      <c r="H18" s="267"/>
      <c r="I18" s="267"/>
      <c r="J18" s="267"/>
      <c r="K18" s="267"/>
      <c r="L18" s="267"/>
      <c r="M18" s="267"/>
      <c r="N18" s="267"/>
      <c r="O18" s="267"/>
      <c r="P18" s="267"/>
      <c r="Q18" s="275"/>
      <c r="R18" s="275"/>
      <c r="S18" s="275"/>
      <c r="T18" s="275"/>
      <c r="U18" s="275"/>
      <c r="V18" s="485"/>
      <c r="W18" s="275"/>
      <c r="X18" s="275"/>
      <c r="Y18" s="275"/>
      <c r="Z18" s="275"/>
      <c r="AA18" s="275"/>
      <c r="AB18" s="275"/>
      <c r="AC18" s="275"/>
      <c r="AD18" s="275"/>
      <c r="AE18" s="302"/>
      <c r="AG18" s="303" t="s">
        <v>589</v>
      </c>
      <c r="AH18" s="275">
        <v>414.56</v>
      </c>
      <c r="AI18" s="275">
        <f t="shared" ref="AI18:AJ20" si="0">AH18</f>
        <v>414.56</v>
      </c>
      <c r="AJ18" s="275">
        <f t="shared" si="0"/>
        <v>414.56</v>
      </c>
      <c r="AK18" s="275">
        <v>0</v>
      </c>
      <c r="AL18" s="275"/>
      <c r="AM18" s="275"/>
      <c r="AN18" s="275"/>
      <c r="AO18" s="275"/>
      <c r="AP18" s="302"/>
    </row>
    <row r="19" spans="1:42">
      <c r="A19" s="266">
        <v>1.5</v>
      </c>
      <c r="B19" s="296" t="s">
        <v>455</v>
      </c>
      <c r="C19" s="267">
        <v>4072</v>
      </c>
      <c r="D19" s="168"/>
      <c r="E19" s="168"/>
      <c r="F19" s="168"/>
      <c r="G19" s="168"/>
      <c r="H19" s="168"/>
      <c r="I19" s="168"/>
      <c r="J19" s="168"/>
      <c r="K19" s="168"/>
      <c r="L19" s="168"/>
      <c r="M19" s="168"/>
      <c r="N19" s="168"/>
      <c r="O19" s="168"/>
      <c r="P19" s="168"/>
      <c r="Q19" s="275"/>
      <c r="R19" s="275"/>
      <c r="S19" s="275"/>
      <c r="T19" s="275"/>
      <c r="U19" s="275"/>
      <c r="V19" s="485"/>
      <c r="W19" s="275"/>
      <c r="X19" s="275"/>
      <c r="Y19" s="275"/>
      <c r="Z19" s="275"/>
      <c r="AA19" s="275"/>
      <c r="AB19" s="275"/>
      <c r="AC19" s="275"/>
      <c r="AD19" s="275"/>
      <c r="AE19" s="302"/>
      <c r="AG19" s="303" t="s">
        <v>591</v>
      </c>
      <c r="AH19" s="275">
        <v>29.25</v>
      </c>
      <c r="AI19" s="275">
        <f t="shared" si="0"/>
        <v>29.25</v>
      </c>
      <c r="AJ19" s="275">
        <f t="shared" si="0"/>
        <v>29.25</v>
      </c>
      <c r="AK19" s="275">
        <v>0</v>
      </c>
      <c r="AL19" s="275"/>
      <c r="AM19" s="275"/>
      <c r="AN19" s="275"/>
      <c r="AO19" s="275"/>
      <c r="AP19" s="302"/>
    </row>
    <row r="20" spans="1:42" ht="12.6" customHeight="1">
      <c r="A20" s="266">
        <v>1.6</v>
      </c>
      <c r="B20" s="296" t="s">
        <v>456</v>
      </c>
      <c r="C20" s="267">
        <v>706</v>
      </c>
      <c r="D20" s="267"/>
      <c r="E20" s="267"/>
      <c r="F20" s="267"/>
      <c r="G20" s="267"/>
      <c r="H20" s="267"/>
      <c r="I20" s="267"/>
      <c r="J20" s="267"/>
      <c r="K20" s="267"/>
      <c r="L20" s="267"/>
      <c r="M20" s="267"/>
      <c r="N20" s="267"/>
      <c r="O20" s="267"/>
      <c r="P20" s="267"/>
      <c r="Q20" s="275"/>
      <c r="R20" s="275"/>
      <c r="S20" s="275"/>
      <c r="T20" s="275"/>
      <c r="U20" s="275"/>
      <c r="V20" s="485"/>
      <c r="W20" s="275"/>
      <c r="X20" s="275"/>
      <c r="Y20" s="275"/>
      <c r="Z20" s="275"/>
      <c r="AA20" s="275"/>
      <c r="AB20" s="275"/>
      <c r="AC20" s="275"/>
      <c r="AD20" s="275"/>
      <c r="AE20" s="302"/>
      <c r="AG20" s="303" t="s">
        <v>645</v>
      </c>
      <c r="AH20" s="275">
        <v>4.7300000000000004</v>
      </c>
      <c r="AI20" s="275">
        <f t="shared" si="0"/>
        <v>4.7300000000000004</v>
      </c>
      <c r="AJ20" s="275">
        <f t="shared" si="0"/>
        <v>4.7300000000000004</v>
      </c>
      <c r="AK20" s="275">
        <v>0</v>
      </c>
      <c r="AL20" s="275"/>
      <c r="AM20" s="275"/>
      <c r="AN20" s="275"/>
      <c r="AO20" s="275"/>
      <c r="AP20" s="302"/>
    </row>
    <row r="21" spans="1:42" ht="75">
      <c r="A21" s="266">
        <v>1.7</v>
      </c>
      <c r="B21" s="296" t="s">
        <v>457</v>
      </c>
      <c r="C21" s="267">
        <v>100</v>
      </c>
      <c r="D21" s="267"/>
      <c r="E21" s="267"/>
      <c r="F21" s="267"/>
      <c r="G21" s="267"/>
      <c r="H21" s="267"/>
      <c r="I21" s="267"/>
      <c r="J21" s="267"/>
      <c r="K21" s="267"/>
      <c r="L21" s="267"/>
      <c r="M21" s="267"/>
      <c r="N21" s="267"/>
      <c r="O21" s="267"/>
      <c r="P21" s="267"/>
      <c r="Q21" s="275"/>
      <c r="R21" s="275"/>
      <c r="S21" s="275"/>
      <c r="T21" s="275"/>
      <c r="U21" s="275"/>
      <c r="V21" s="485"/>
      <c r="W21" s="275"/>
      <c r="X21" s="275"/>
      <c r="Y21" s="275"/>
      <c r="Z21" s="275"/>
      <c r="AA21" s="275"/>
      <c r="AB21" s="275"/>
      <c r="AC21" s="275"/>
      <c r="AD21" s="275"/>
      <c r="AE21" s="302"/>
      <c r="AG21" s="304" t="s">
        <v>644</v>
      </c>
      <c r="AH21" s="275">
        <v>0</v>
      </c>
      <c r="AI21" s="275">
        <v>0</v>
      </c>
      <c r="AJ21" s="275">
        <f>4.73+414.56+29.25</f>
        <v>448.54</v>
      </c>
      <c r="AK21" s="275">
        <v>0</v>
      </c>
      <c r="AL21" s="275"/>
      <c r="AM21" s="275"/>
      <c r="AN21" s="275"/>
      <c r="AO21" s="275"/>
      <c r="AP21" s="302"/>
    </row>
    <row r="22" spans="1:42" ht="30.75" thickBot="1">
      <c r="A22" s="176">
        <v>1.8</v>
      </c>
      <c r="B22" s="263" t="s">
        <v>458</v>
      </c>
      <c r="C22" s="169">
        <f>C19+C20+C21</f>
        <v>4878</v>
      </c>
      <c r="D22" s="171">
        <v>4878</v>
      </c>
      <c r="E22" s="171">
        <v>4781.54</v>
      </c>
      <c r="F22" s="171">
        <v>4781.54</v>
      </c>
      <c r="G22" s="171">
        <f>F22-E22</f>
        <v>0</v>
      </c>
      <c r="H22" s="171">
        <v>27.72</v>
      </c>
      <c r="I22" s="171">
        <v>-9.4</v>
      </c>
      <c r="J22" s="171">
        <f>I22-H22</f>
        <v>-37.119999999999997</v>
      </c>
      <c r="K22" s="171">
        <v>0</v>
      </c>
      <c r="L22" s="171">
        <v>0</v>
      </c>
      <c r="M22" s="171">
        <f>L22-K22</f>
        <v>0</v>
      </c>
      <c r="N22" s="171">
        <v>68.739999999999995</v>
      </c>
      <c r="O22" s="171">
        <v>162</v>
      </c>
      <c r="P22" s="171">
        <f>O22-N22</f>
        <v>93.26</v>
      </c>
      <c r="Q22" s="275"/>
      <c r="R22" s="275"/>
      <c r="S22" s="275"/>
      <c r="T22" s="275"/>
      <c r="U22" s="275"/>
      <c r="V22" s="485"/>
      <c r="W22" s="275"/>
      <c r="X22" s="275"/>
      <c r="Y22" s="275"/>
      <c r="Z22" s="275"/>
      <c r="AA22" s="275"/>
      <c r="AB22" s="275"/>
      <c r="AC22" s="275"/>
      <c r="AD22" s="275"/>
      <c r="AE22" s="302"/>
      <c r="AG22" s="305" t="s">
        <v>647</v>
      </c>
      <c r="AH22" s="306">
        <f>AH18+AH19+AH20-AH21</f>
        <v>448.54</v>
      </c>
      <c r="AI22" s="306">
        <f>AI18+AI19+AI20-AI21</f>
        <v>448.54</v>
      </c>
      <c r="AJ22" s="306">
        <f>AJ18+AJ19+AJ20-AJ21</f>
        <v>0</v>
      </c>
      <c r="AK22" s="306">
        <v>0</v>
      </c>
      <c r="AL22" s="306"/>
      <c r="AM22" s="306"/>
      <c r="AN22" s="306"/>
      <c r="AO22" s="306"/>
      <c r="AP22" s="307"/>
    </row>
    <row r="23" spans="1:42">
      <c r="A23" s="176">
        <v>2</v>
      </c>
      <c r="B23" s="361" t="s">
        <v>459</v>
      </c>
      <c r="C23" s="361"/>
      <c r="D23" s="438"/>
      <c r="E23" s="361"/>
      <c r="F23" s="361"/>
      <c r="G23" s="361"/>
      <c r="H23" s="361"/>
      <c r="I23" s="361"/>
      <c r="J23" s="361"/>
      <c r="K23" s="439"/>
      <c r="L23" s="439"/>
      <c r="M23" s="439"/>
      <c r="N23" s="361"/>
      <c r="O23" s="361"/>
      <c r="P23" s="361"/>
      <c r="Q23" s="275"/>
      <c r="R23" s="275"/>
      <c r="S23" s="275"/>
      <c r="T23" s="275"/>
      <c r="U23" s="275"/>
      <c r="V23" s="485"/>
      <c r="W23" s="275"/>
      <c r="X23" s="275"/>
      <c r="Y23" s="275"/>
      <c r="Z23" s="275"/>
      <c r="AA23" s="275"/>
      <c r="AB23" s="275"/>
      <c r="AC23" s="275"/>
      <c r="AD23" s="275"/>
      <c r="AE23" s="302"/>
    </row>
    <row r="24" spans="1:42" ht="26.25" customHeight="1">
      <c r="A24" s="266">
        <v>2.1</v>
      </c>
      <c r="B24" s="296" t="s">
        <v>460</v>
      </c>
      <c r="C24" s="267">
        <v>490</v>
      </c>
      <c r="D24" s="298"/>
      <c r="E24" s="267"/>
      <c r="F24" s="267"/>
      <c r="G24" s="267"/>
      <c r="H24" s="267"/>
      <c r="I24" s="267"/>
      <c r="J24" s="267"/>
      <c r="K24" s="434"/>
      <c r="L24" s="434"/>
      <c r="M24" s="434"/>
      <c r="N24" s="267"/>
      <c r="O24" s="267"/>
      <c r="P24" s="267"/>
      <c r="Q24" s="275"/>
      <c r="R24" s="275"/>
      <c r="S24" s="275"/>
      <c r="T24" s="275"/>
      <c r="U24" s="275"/>
      <c r="V24" s="485"/>
      <c r="W24" s="275"/>
      <c r="X24" s="275"/>
      <c r="Y24" s="275"/>
      <c r="Z24" s="275"/>
      <c r="AA24" s="275"/>
      <c r="AB24" s="275"/>
      <c r="AC24" s="275"/>
      <c r="AD24" s="275"/>
      <c r="AE24" s="302"/>
    </row>
    <row r="25" spans="1:42">
      <c r="A25" s="266">
        <v>2.2000000000000002</v>
      </c>
      <c r="B25" s="296" t="s">
        <v>461</v>
      </c>
      <c r="C25" s="267">
        <v>340</v>
      </c>
      <c r="D25" s="298"/>
      <c r="E25" s="267"/>
      <c r="F25" s="267"/>
      <c r="G25" s="267"/>
      <c r="H25" s="267"/>
      <c r="I25" s="267"/>
      <c r="J25" s="267"/>
      <c r="K25" s="434"/>
      <c r="L25" s="434"/>
      <c r="M25" s="434"/>
      <c r="N25" s="267"/>
      <c r="O25" s="267"/>
      <c r="P25" s="267"/>
      <c r="Q25" s="275"/>
      <c r="R25" s="275"/>
      <c r="S25" s="275"/>
      <c r="T25" s="275"/>
      <c r="U25" s="275"/>
      <c r="V25" s="485"/>
      <c r="W25" s="275"/>
      <c r="X25" s="275"/>
      <c r="Y25" s="275"/>
      <c r="Z25" s="275"/>
      <c r="AA25" s="275"/>
      <c r="AB25" s="275"/>
      <c r="AC25" s="275"/>
      <c r="AD25" s="275"/>
      <c r="AE25" s="302"/>
    </row>
    <row r="26" spans="1:42">
      <c r="A26" s="266">
        <v>2.2999999999999998</v>
      </c>
      <c r="B26" s="296" t="s">
        <v>462</v>
      </c>
      <c r="C26" s="267">
        <v>140</v>
      </c>
      <c r="D26" s="298"/>
      <c r="E26" s="267"/>
      <c r="F26" s="267"/>
      <c r="G26" s="267"/>
      <c r="H26" s="267"/>
      <c r="I26" s="267"/>
      <c r="J26" s="267"/>
      <c r="K26" s="434"/>
      <c r="L26" s="434"/>
      <c r="M26" s="434"/>
      <c r="N26" s="267"/>
      <c r="O26" s="267"/>
      <c r="P26" s="267"/>
      <c r="Q26" s="275"/>
      <c r="R26" s="275"/>
      <c r="S26" s="275"/>
      <c r="T26" s="275"/>
      <c r="U26" s="275"/>
      <c r="V26" s="485"/>
      <c r="W26" s="275"/>
      <c r="X26" s="275"/>
      <c r="Y26" s="275"/>
      <c r="Z26" s="275"/>
      <c r="AA26" s="275"/>
      <c r="AB26" s="275"/>
      <c r="AC26" s="275"/>
      <c r="AD26" s="275"/>
      <c r="AE26" s="302"/>
    </row>
    <row r="27" spans="1:42">
      <c r="A27" s="266">
        <v>2.4</v>
      </c>
      <c r="B27" s="296" t="s">
        <v>463</v>
      </c>
      <c r="C27" s="267">
        <v>3</v>
      </c>
      <c r="D27" s="298"/>
      <c r="E27" s="267"/>
      <c r="F27" s="267"/>
      <c r="G27" s="267"/>
      <c r="H27" s="267"/>
      <c r="I27" s="267"/>
      <c r="J27" s="267"/>
      <c r="K27" s="434"/>
      <c r="L27" s="434"/>
      <c r="M27" s="434"/>
      <c r="N27" s="267"/>
      <c r="O27" s="267"/>
      <c r="P27" s="267"/>
      <c r="Q27" s="275"/>
      <c r="R27" s="275"/>
      <c r="S27" s="275"/>
      <c r="T27" s="275"/>
      <c r="U27" s="275"/>
      <c r="V27" s="485"/>
      <c r="W27" s="275"/>
      <c r="X27" s="275"/>
      <c r="Y27" s="275"/>
      <c r="Z27" s="275"/>
      <c r="AA27" s="275"/>
      <c r="AB27" s="275"/>
      <c r="AC27" s="275"/>
      <c r="AD27" s="275"/>
      <c r="AE27" s="302"/>
    </row>
    <row r="28" spans="1:42">
      <c r="A28" s="266">
        <v>2.5</v>
      </c>
      <c r="B28" s="296" t="s">
        <v>455</v>
      </c>
      <c r="C28" s="267">
        <v>973</v>
      </c>
      <c r="D28" s="298"/>
      <c r="E28" s="267"/>
      <c r="F28" s="267"/>
      <c r="G28" s="267"/>
      <c r="H28" s="267"/>
      <c r="I28" s="267"/>
      <c r="J28" s="267"/>
      <c r="K28" s="434"/>
      <c r="L28" s="434"/>
      <c r="M28" s="434"/>
      <c r="N28" s="267"/>
      <c r="O28" s="267"/>
      <c r="P28" s="267"/>
      <c r="Q28" s="275"/>
      <c r="R28" s="275"/>
      <c r="S28" s="275"/>
      <c r="T28" s="275"/>
      <c r="U28" s="275"/>
      <c r="V28" s="485"/>
      <c r="W28" s="275"/>
      <c r="X28" s="275"/>
      <c r="Y28" s="275"/>
      <c r="Z28" s="275"/>
      <c r="AA28" s="275"/>
      <c r="AB28" s="275"/>
      <c r="AC28" s="275"/>
      <c r="AD28" s="275"/>
      <c r="AE28" s="302"/>
    </row>
    <row r="29" spans="1:42" ht="15.75" thickBot="1">
      <c r="A29" s="266">
        <v>2.6</v>
      </c>
      <c r="B29" s="296" t="s">
        <v>464</v>
      </c>
      <c r="C29" s="267">
        <v>65</v>
      </c>
      <c r="D29" s="298"/>
      <c r="E29" s="267"/>
      <c r="F29" s="267"/>
      <c r="G29" s="267"/>
      <c r="H29" s="267"/>
      <c r="I29" s="267"/>
      <c r="J29" s="267"/>
      <c r="K29" s="434"/>
      <c r="L29" s="434"/>
      <c r="M29" s="434"/>
      <c r="N29" s="267"/>
      <c r="O29" s="267"/>
      <c r="P29" s="267"/>
      <c r="Q29" s="275"/>
      <c r="R29" s="275"/>
      <c r="S29" s="275"/>
      <c r="T29" s="275"/>
      <c r="U29" s="275"/>
      <c r="V29" s="485"/>
      <c r="W29" s="275"/>
      <c r="X29" s="275"/>
      <c r="Y29" s="275"/>
      <c r="Z29" s="275"/>
      <c r="AA29" s="275"/>
      <c r="AB29" s="275"/>
      <c r="AC29" s="275"/>
      <c r="AD29" s="275"/>
      <c r="AE29" s="302"/>
      <c r="AG29" s="2284" t="s">
        <v>650</v>
      </c>
      <c r="AH29" s="2284"/>
      <c r="AI29" s="2284"/>
      <c r="AJ29" s="2284"/>
      <c r="AK29" s="2284"/>
    </row>
    <row r="30" spans="1:42" ht="60">
      <c r="A30" s="176">
        <v>2.7</v>
      </c>
      <c r="B30" s="263" t="s">
        <v>465</v>
      </c>
      <c r="C30" s="169">
        <f>C28+C29</f>
        <v>1038</v>
      </c>
      <c r="D30" s="171">
        <v>1038</v>
      </c>
      <c r="E30" s="171">
        <v>864.96</v>
      </c>
      <c r="F30" s="171">
        <f>E30</f>
        <v>864.96</v>
      </c>
      <c r="G30" s="171">
        <f>F30-E30</f>
        <v>0</v>
      </c>
      <c r="H30" s="171">
        <v>30.32</v>
      </c>
      <c r="I30" s="171">
        <v>12.14</v>
      </c>
      <c r="J30" s="171">
        <f>I30-H30</f>
        <v>-18.18</v>
      </c>
      <c r="K30" s="171">
        <v>0</v>
      </c>
      <c r="L30" s="171">
        <v>100.32</v>
      </c>
      <c r="M30" s="171">
        <f>L30-K30</f>
        <v>100.32</v>
      </c>
      <c r="N30" s="171">
        <v>142.72</v>
      </c>
      <c r="O30" s="171">
        <v>42.58</v>
      </c>
      <c r="P30" s="171">
        <f>O30-N30</f>
        <v>-100.14</v>
      </c>
      <c r="Q30" s="275"/>
      <c r="R30" s="171"/>
      <c r="S30" s="275"/>
      <c r="T30" s="275"/>
      <c r="U30" s="275"/>
      <c r="V30" s="485"/>
      <c r="W30" s="275"/>
      <c r="X30" s="275"/>
      <c r="Y30" s="275"/>
      <c r="Z30" s="275"/>
      <c r="AA30" s="275"/>
      <c r="AB30" s="275"/>
      <c r="AC30" s="275"/>
      <c r="AD30" s="275"/>
      <c r="AE30" s="302"/>
      <c r="AG30" s="309" t="s">
        <v>649</v>
      </c>
      <c r="AH30" s="308" t="s">
        <v>634</v>
      </c>
      <c r="AI30" s="308" t="s">
        <v>635</v>
      </c>
      <c r="AJ30" s="310" t="s">
        <v>517</v>
      </c>
      <c r="AK30" s="310" t="s">
        <v>518</v>
      </c>
      <c r="AL30" s="310" t="s">
        <v>864</v>
      </c>
      <c r="AM30" s="310" t="s">
        <v>865</v>
      </c>
      <c r="AN30" s="310" t="s">
        <v>866</v>
      </c>
      <c r="AO30" s="310" t="s">
        <v>867</v>
      </c>
      <c r="AP30" s="311" t="s">
        <v>868</v>
      </c>
    </row>
    <row r="31" spans="1:42" ht="45">
      <c r="A31" s="176">
        <v>3</v>
      </c>
      <c r="B31" s="362" t="s">
        <v>466</v>
      </c>
      <c r="C31" s="362"/>
      <c r="D31" s="362"/>
      <c r="E31" s="362"/>
      <c r="F31" s="362"/>
      <c r="G31" s="362"/>
      <c r="H31" s="362"/>
      <c r="I31" s="362"/>
      <c r="J31" s="362"/>
      <c r="K31" s="362"/>
      <c r="L31" s="362"/>
      <c r="M31" s="362"/>
      <c r="N31" s="362"/>
      <c r="O31" s="362"/>
      <c r="P31" s="362"/>
      <c r="Q31" s="275"/>
      <c r="R31" s="275"/>
      <c r="S31" s="275"/>
      <c r="T31" s="275"/>
      <c r="U31" s="275"/>
      <c r="V31" s="485"/>
      <c r="W31" s="275"/>
      <c r="X31" s="275"/>
      <c r="Y31" s="275"/>
      <c r="Z31" s="275"/>
      <c r="AA31" s="275"/>
      <c r="AB31" s="275"/>
      <c r="AC31" s="275"/>
      <c r="AD31" s="275"/>
      <c r="AE31" s="302"/>
      <c r="AG31" s="313" t="s">
        <v>646</v>
      </c>
      <c r="AH31" s="275"/>
      <c r="AI31" s="275"/>
      <c r="AJ31" s="275"/>
      <c r="AK31" s="275"/>
      <c r="AL31" s="275"/>
      <c r="AM31" s="275"/>
      <c r="AN31" s="275"/>
      <c r="AO31" s="275"/>
      <c r="AP31" s="302"/>
    </row>
    <row r="32" spans="1:42" ht="68.25" customHeight="1">
      <c r="A32" s="266">
        <v>3.1</v>
      </c>
      <c r="B32" s="296" t="s">
        <v>467</v>
      </c>
      <c r="C32" s="296">
        <v>59</v>
      </c>
      <c r="D32" s="171">
        <v>59</v>
      </c>
      <c r="E32" s="296">
        <v>40.36</v>
      </c>
      <c r="F32" s="296">
        <v>40.36</v>
      </c>
      <c r="G32" s="296">
        <f t="shared" ref="G32:G50" si="1">F32-E32</f>
        <v>0</v>
      </c>
      <c r="H32" s="296">
        <v>7.44</v>
      </c>
      <c r="I32" s="296">
        <v>-0.65</v>
      </c>
      <c r="J32" s="296">
        <f t="shared" ref="J32:J50" si="2">I32-H32</f>
        <v>-8.09</v>
      </c>
      <c r="K32" s="296">
        <v>0</v>
      </c>
      <c r="L32" s="296">
        <v>0.16</v>
      </c>
      <c r="M32" s="296">
        <f t="shared" ref="M32:M68" si="3">L32-K32</f>
        <v>0.16</v>
      </c>
      <c r="N32" s="296">
        <v>11.2</v>
      </c>
      <c r="O32" s="296">
        <v>10.130000000000001</v>
      </c>
      <c r="P32" s="296">
        <f t="shared" ref="P32:P68" si="4">O32-N32</f>
        <v>-1.0699999999999985</v>
      </c>
      <c r="Q32" s="275"/>
      <c r="R32" s="275"/>
      <c r="S32" s="275"/>
      <c r="T32" s="275"/>
      <c r="U32" s="275"/>
      <c r="V32" s="485"/>
      <c r="W32" s="275"/>
      <c r="X32" s="275"/>
      <c r="Y32" s="275"/>
      <c r="Z32" s="275"/>
      <c r="AA32" s="275"/>
      <c r="AB32" s="275"/>
      <c r="AC32" s="275"/>
      <c r="AD32" s="275"/>
      <c r="AE32" s="302"/>
      <c r="AG32" s="313" t="s">
        <v>589</v>
      </c>
      <c r="AH32" s="275">
        <v>414.56</v>
      </c>
      <c r="AI32" s="275">
        <v>414.56</v>
      </c>
      <c r="AJ32" s="275">
        <v>414.56</v>
      </c>
      <c r="AK32" s="275">
        <v>414.56</v>
      </c>
      <c r="AL32" s="275"/>
      <c r="AM32" s="275"/>
      <c r="AN32" s="275"/>
      <c r="AO32" s="275"/>
      <c r="AP32" s="302"/>
    </row>
    <row r="33" spans="1:42" ht="24">
      <c r="A33" s="266">
        <v>3.2</v>
      </c>
      <c r="B33" s="296" t="s">
        <v>468</v>
      </c>
      <c r="C33" s="296">
        <v>1</v>
      </c>
      <c r="D33" s="171">
        <v>1</v>
      </c>
      <c r="E33" s="296">
        <v>0.02</v>
      </c>
      <c r="F33" s="296">
        <v>0.02</v>
      </c>
      <c r="G33" s="296">
        <f t="shared" si="1"/>
        <v>0</v>
      </c>
      <c r="H33" s="296">
        <v>0</v>
      </c>
      <c r="I33" s="296">
        <v>0</v>
      </c>
      <c r="J33" s="296">
        <f t="shared" si="2"/>
        <v>0</v>
      </c>
      <c r="K33" s="296">
        <v>0</v>
      </c>
      <c r="L33" s="296">
        <v>0</v>
      </c>
      <c r="M33" s="296">
        <f t="shared" si="3"/>
        <v>0</v>
      </c>
      <c r="N33" s="296">
        <v>0.98</v>
      </c>
      <c r="O33" s="296">
        <v>0.28000000000000003</v>
      </c>
      <c r="P33" s="296">
        <f t="shared" si="4"/>
        <v>-0.7</v>
      </c>
      <c r="Q33" s="275"/>
      <c r="R33" s="275"/>
      <c r="S33" s="275"/>
      <c r="T33" s="275"/>
      <c r="U33" s="275"/>
      <c r="V33" s="485"/>
      <c r="W33" s="275"/>
      <c r="X33" s="275"/>
      <c r="Y33" s="275"/>
      <c r="Z33" s="275"/>
      <c r="AA33" s="275"/>
      <c r="AB33" s="275"/>
      <c r="AC33" s="275"/>
      <c r="AD33" s="275"/>
      <c r="AE33" s="302"/>
      <c r="AG33" s="313" t="s">
        <v>591</v>
      </c>
      <c r="AH33" s="275">
        <v>29.25</v>
      </c>
      <c r="AI33" s="275">
        <v>29.25</v>
      </c>
      <c r="AJ33" s="275">
        <v>29.25</v>
      </c>
      <c r="AK33" s="275">
        <v>29.25</v>
      </c>
      <c r="AL33" s="275"/>
      <c r="AM33" s="275"/>
      <c r="AN33" s="275"/>
      <c r="AO33" s="275"/>
      <c r="AP33" s="302"/>
    </row>
    <row r="34" spans="1:42" ht="30">
      <c r="A34" s="266">
        <v>3.3</v>
      </c>
      <c r="B34" s="296" t="s">
        <v>469</v>
      </c>
      <c r="C34" s="296">
        <v>25</v>
      </c>
      <c r="D34" s="171">
        <v>25</v>
      </c>
      <c r="E34" s="296">
        <v>21.35</v>
      </c>
      <c r="F34" s="296">
        <v>21.35</v>
      </c>
      <c r="G34" s="296">
        <f t="shared" si="1"/>
        <v>0</v>
      </c>
      <c r="H34" s="296">
        <v>0</v>
      </c>
      <c r="I34" s="296">
        <v>2.0299999999999998</v>
      </c>
      <c r="J34" s="296">
        <f t="shared" si="2"/>
        <v>2.0299999999999998</v>
      </c>
      <c r="K34" s="296">
        <v>0</v>
      </c>
      <c r="L34" s="296">
        <v>0.01</v>
      </c>
      <c r="M34" s="296">
        <f t="shared" si="3"/>
        <v>0.01</v>
      </c>
      <c r="N34" s="296">
        <v>3.65</v>
      </c>
      <c r="O34" s="296">
        <v>0.61</v>
      </c>
      <c r="P34" s="296">
        <f t="shared" si="4"/>
        <v>-3.04</v>
      </c>
      <c r="Q34" s="275"/>
      <c r="R34" s="275"/>
      <c r="S34" s="275"/>
      <c r="T34" s="275"/>
      <c r="U34" s="275"/>
      <c r="V34" s="485"/>
      <c r="W34" s="275"/>
      <c r="X34" s="275"/>
      <c r="Y34" s="275"/>
      <c r="Z34" s="275"/>
      <c r="AA34" s="275"/>
      <c r="AB34" s="275"/>
      <c r="AC34" s="275"/>
      <c r="AD34" s="275"/>
      <c r="AE34" s="302"/>
      <c r="AG34" s="313" t="s">
        <v>645</v>
      </c>
      <c r="AH34" s="275">
        <v>4.7300000000000004</v>
      </c>
      <c r="AI34" s="275">
        <v>0</v>
      </c>
      <c r="AJ34" s="275">
        <v>0</v>
      </c>
      <c r="AK34" s="275">
        <v>0</v>
      </c>
      <c r="AL34" s="275"/>
      <c r="AM34" s="275"/>
      <c r="AN34" s="275"/>
      <c r="AO34" s="275"/>
      <c r="AP34" s="302"/>
    </row>
    <row r="35" spans="1:42" ht="75">
      <c r="A35" s="266">
        <v>3.4</v>
      </c>
      <c r="B35" s="296" t="s">
        <v>636</v>
      </c>
      <c r="C35" s="267">
        <v>20</v>
      </c>
      <c r="D35" s="171">
        <v>20</v>
      </c>
      <c r="E35" s="267">
        <v>11.44</v>
      </c>
      <c r="F35" s="267">
        <v>11.44</v>
      </c>
      <c r="G35" s="267">
        <f t="shared" si="1"/>
        <v>0</v>
      </c>
      <c r="H35" s="267">
        <v>0.27</v>
      </c>
      <c r="I35" s="267">
        <v>0.31</v>
      </c>
      <c r="J35" s="267">
        <f t="shared" si="2"/>
        <v>3.999999999999998E-2</v>
      </c>
      <c r="K35" s="267">
        <v>0</v>
      </c>
      <c r="L35" s="267">
        <v>0.59</v>
      </c>
      <c r="M35" s="267">
        <f t="shared" si="3"/>
        <v>0.59</v>
      </c>
      <c r="N35" s="267">
        <v>8.2899999999999991</v>
      </c>
      <c r="O35" s="267">
        <v>7.66</v>
      </c>
      <c r="P35" s="267">
        <f t="shared" si="4"/>
        <v>-0.62999999999999901</v>
      </c>
      <c r="Q35" s="275"/>
      <c r="R35" s="275"/>
      <c r="S35" s="275"/>
      <c r="T35" s="275"/>
      <c r="U35" s="275"/>
      <c r="V35" s="485"/>
      <c r="W35" s="275"/>
      <c r="X35" s="275"/>
      <c r="Y35" s="275"/>
      <c r="Z35" s="275"/>
      <c r="AA35" s="275"/>
      <c r="AB35" s="275"/>
      <c r="AC35" s="275"/>
      <c r="AD35" s="275"/>
      <c r="AE35" s="302"/>
      <c r="AG35" s="313" t="s">
        <v>644</v>
      </c>
      <c r="AH35" s="275">
        <v>4.7300000000000004</v>
      </c>
      <c r="AI35" s="275">
        <v>0</v>
      </c>
      <c r="AJ35" s="275">
        <v>0</v>
      </c>
      <c r="AK35" s="275">
        <v>0</v>
      </c>
      <c r="AL35" s="275"/>
      <c r="AM35" s="275"/>
      <c r="AN35" s="275"/>
      <c r="AO35" s="275"/>
      <c r="AP35" s="302"/>
    </row>
    <row r="36" spans="1:42" ht="30.75" thickBot="1">
      <c r="A36" s="266">
        <v>3.5</v>
      </c>
      <c r="B36" s="296" t="s">
        <v>706</v>
      </c>
      <c r="C36" s="267">
        <v>56.48</v>
      </c>
      <c r="D36" s="171">
        <v>56.48</v>
      </c>
      <c r="E36" s="267">
        <v>42.61</v>
      </c>
      <c r="F36" s="267">
        <v>42.61</v>
      </c>
      <c r="G36" s="267">
        <f t="shared" si="1"/>
        <v>0</v>
      </c>
      <c r="H36" s="267">
        <v>1.5</v>
      </c>
      <c r="I36" s="267">
        <v>3.11</v>
      </c>
      <c r="J36" s="267">
        <f t="shared" si="2"/>
        <v>1.6099999999999999</v>
      </c>
      <c r="K36" s="267">
        <v>0</v>
      </c>
      <c r="L36" s="267">
        <v>-1.0900000000000001</v>
      </c>
      <c r="M36" s="267">
        <f t="shared" si="3"/>
        <v>-1.0900000000000001</v>
      </c>
      <c r="N36" s="267">
        <v>12.37</v>
      </c>
      <c r="O36" s="267">
        <v>7.37</v>
      </c>
      <c r="P36" s="267">
        <f t="shared" si="4"/>
        <v>-4.9999999999999991</v>
      </c>
      <c r="Q36" s="275"/>
      <c r="R36" s="275"/>
      <c r="S36" s="275"/>
      <c r="T36" s="275"/>
      <c r="U36" s="275"/>
      <c r="V36" s="485"/>
      <c r="W36" s="275"/>
      <c r="X36" s="275"/>
      <c r="Y36" s="275"/>
      <c r="Z36" s="275"/>
      <c r="AA36" s="275"/>
      <c r="AB36" s="275"/>
      <c r="AC36" s="275"/>
      <c r="AD36" s="275"/>
      <c r="AE36" s="302"/>
      <c r="AG36" s="314" t="s">
        <v>647</v>
      </c>
      <c r="AH36" s="306">
        <f>AH32+AH33+AH34-AH35</f>
        <v>443.81</v>
      </c>
      <c r="AI36" s="306">
        <f>AI32+AI33+AI34-AI35</f>
        <v>443.81</v>
      </c>
      <c r="AJ36" s="306">
        <f>AJ32+AJ33+AJ34-AJ35</f>
        <v>443.81</v>
      </c>
      <c r="AK36" s="306">
        <f>AK32+AK33+AK34-AK35</f>
        <v>443.81</v>
      </c>
      <c r="AL36" s="306"/>
      <c r="AM36" s="306"/>
      <c r="AN36" s="306"/>
      <c r="AO36" s="306"/>
      <c r="AP36" s="307"/>
    </row>
    <row r="37" spans="1:42">
      <c r="A37" s="266">
        <v>3.6</v>
      </c>
      <c r="B37" s="296" t="s">
        <v>473</v>
      </c>
      <c r="C37" s="267">
        <v>17</v>
      </c>
      <c r="D37" s="171">
        <v>17.190000000000001</v>
      </c>
      <c r="E37" s="267">
        <v>16.940000000000001</v>
      </c>
      <c r="F37" s="267">
        <v>16.940000000000001</v>
      </c>
      <c r="G37" s="267">
        <f t="shared" si="1"/>
        <v>0</v>
      </c>
      <c r="H37" s="267">
        <v>0.25</v>
      </c>
      <c r="I37" s="267">
        <v>0.25</v>
      </c>
      <c r="J37" s="267">
        <f t="shared" si="2"/>
        <v>0</v>
      </c>
      <c r="K37" s="267">
        <v>0</v>
      </c>
      <c r="L37" s="267">
        <v>0</v>
      </c>
      <c r="M37" s="267">
        <f t="shared" si="3"/>
        <v>0</v>
      </c>
      <c r="N37" s="267">
        <v>0</v>
      </c>
      <c r="O37" s="267">
        <v>1.81</v>
      </c>
      <c r="P37" s="267">
        <f t="shared" si="4"/>
        <v>1.81</v>
      </c>
      <c r="Q37" s="275"/>
      <c r="R37" s="275"/>
      <c r="S37" s="275"/>
      <c r="T37" s="275"/>
      <c r="U37" s="275"/>
      <c r="V37" s="485"/>
      <c r="W37" s="275"/>
      <c r="X37" s="275"/>
      <c r="Y37" s="275"/>
      <c r="Z37" s="275"/>
      <c r="AA37" s="275"/>
      <c r="AB37" s="275"/>
      <c r="AC37" s="275"/>
      <c r="AD37" s="275"/>
      <c r="AE37" s="302"/>
    </row>
    <row r="38" spans="1:42">
      <c r="A38" s="266">
        <v>3.7</v>
      </c>
      <c r="B38" s="296" t="s">
        <v>474</v>
      </c>
      <c r="C38" s="267">
        <v>67</v>
      </c>
      <c r="D38" s="171">
        <v>67</v>
      </c>
      <c r="E38" s="267">
        <v>43.17</v>
      </c>
      <c r="F38" s="267">
        <v>43.17</v>
      </c>
      <c r="G38" s="267">
        <f t="shared" si="1"/>
        <v>0</v>
      </c>
      <c r="H38" s="267">
        <v>5.05</v>
      </c>
      <c r="I38" s="267">
        <v>2.9</v>
      </c>
      <c r="J38" s="267">
        <f t="shared" si="2"/>
        <v>-2.15</v>
      </c>
      <c r="K38" s="275">
        <v>0</v>
      </c>
      <c r="L38" s="275">
        <v>5.41</v>
      </c>
      <c r="M38" s="275">
        <f t="shared" si="3"/>
        <v>5.41</v>
      </c>
      <c r="N38" s="267">
        <v>18.78</v>
      </c>
      <c r="O38" s="267">
        <v>6.52</v>
      </c>
      <c r="P38" s="267">
        <f t="shared" si="4"/>
        <v>-12.260000000000002</v>
      </c>
      <c r="Q38" s="275"/>
      <c r="R38" s="275"/>
      <c r="S38" s="275"/>
      <c r="T38" s="275"/>
      <c r="U38" s="275"/>
      <c r="V38" s="485"/>
      <c r="W38" s="275"/>
      <c r="X38" s="275"/>
      <c r="Y38" s="275"/>
      <c r="Z38" s="275"/>
      <c r="AA38" s="275"/>
      <c r="AB38" s="275"/>
      <c r="AC38" s="275"/>
      <c r="AD38" s="275"/>
      <c r="AE38" s="302"/>
    </row>
    <row r="39" spans="1:42">
      <c r="A39" s="266">
        <v>3.8</v>
      </c>
      <c r="B39" s="296" t="s">
        <v>475</v>
      </c>
      <c r="C39" s="267">
        <v>86</v>
      </c>
      <c r="D39" s="171">
        <v>86</v>
      </c>
      <c r="E39" s="267">
        <v>83.48</v>
      </c>
      <c r="F39" s="267">
        <v>83.48</v>
      </c>
      <c r="G39" s="267">
        <f t="shared" si="1"/>
        <v>0</v>
      </c>
      <c r="H39" s="267">
        <v>2.52</v>
      </c>
      <c r="I39" s="267">
        <v>0.48</v>
      </c>
      <c r="J39" s="267">
        <f t="shared" si="2"/>
        <v>-2.04</v>
      </c>
      <c r="K39" s="267">
        <v>0</v>
      </c>
      <c r="L39" s="267">
        <v>0.22</v>
      </c>
      <c r="M39" s="267">
        <f t="shared" si="3"/>
        <v>0.22</v>
      </c>
      <c r="N39" s="267">
        <v>0</v>
      </c>
      <c r="O39" s="267">
        <v>1.82</v>
      </c>
      <c r="P39" s="267">
        <f t="shared" si="4"/>
        <v>1.82</v>
      </c>
      <c r="Q39" s="275"/>
      <c r="R39" s="275"/>
      <c r="S39" s="275"/>
      <c r="T39" s="275"/>
      <c r="U39" s="275"/>
      <c r="V39" s="485"/>
      <c r="W39" s="275"/>
      <c r="X39" s="275"/>
      <c r="Y39" s="275"/>
      <c r="Z39" s="275"/>
      <c r="AA39" s="275"/>
      <c r="AB39" s="275"/>
      <c r="AC39" s="275"/>
      <c r="AD39" s="275"/>
      <c r="AE39" s="302"/>
    </row>
    <row r="40" spans="1:42">
      <c r="A40" s="266">
        <v>3.9</v>
      </c>
      <c r="B40" s="296" t="s">
        <v>476</v>
      </c>
      <c r="C40" s="267">
        <v>320</v>
      </c>
      <c r="D40" s="171">
        <v>320</v>
      </c>
      <c r="E40" s="267">
        <v>0</v>
      </c>
      <c r="F40" s="267">
        <v>0</v>
      </c>
      <c r="G40" s="267">
        <f t="shared" si="1"/>
        <v>0</v>
      </c>
      <c r="H40" s="267">
        <v>0</v>
      </c>
      <c r="I40" s="267">
        <v>0</v>
      </c>
      <c r="J40" s="267">
        <f t="shared" si="2"/>
        <v>0</v>
      </c>
      <c r="K40" s="267">
        <v>0</v>
      </c>
      <c r="L40" s="267">
        <v>0</v>
      </c>
      <c r="M40" s="267">
        <f t="shared" si="3"/>
        <v>0</v>
      </c>
      <c r="N40" s="267">
        <v>320</v>
      </c>
      <c r="O40" s="267">
        <v>292</v>
      </c>
      <c r="P40" s="267">
        <f t="shared" si="4"/>
        <v>-28</v>
      </c>
      <c r="Q40" s="275"/>
      <c r="R40" s="275"/>
      <c r="S40" s="275"/>
      <c r="T40" s="275"/>
      <c r="U40" s="275"/>
      <c r="V40" s="485"/>
      <c r="W40" s="275"/>
      <c r="X40" s="275"/>
      <c r="Y40" s="275"/>
      <c r="Z40" s="275"/>
      <c r="AA40" s="275"/>
      <c r="AB40" s="275"/>
      <c r="AC40" s="275"/>
      <c r="AD40" s="275"/>
      <c r="AE40" s="302"/>
    </row>
    <row r="41" spans="1:42" ht="24">
      <c r="A41" s="272">
        <v>3.1</v>
      </c>
      <c r="B41" s="296" t="s">
        <v>477</v>
      </c>
      <c r="C41" s="267">
        <v>5.4</v>
      </c>
      <c r="D41" s="171">
        <v>5.3999999999999995</v>
      </c>
      <c r="E41" s="267">
        <v>0.23</v>
      </c>
      <c r="F41" s="267">
        <v>0.23</v>
      </c>
      <c r="G41" s="267">
        <f t="shared" si="1"/>
        <v>0</v>
      </c>
      <c r="H41" s="267">
        <v>0.2</v>
      </c>
      <c r="I41" s="267">
        <v>0.37</v>
      </c>
      <c r="J41" s="267">
        <f t="shared" si="2"/>
        <v>0.16999999999999998</v>
      </c>
      <c r="K41" s="267">
        <v>0</v>
      </c>
      <c r="L41" s="267">
        <v>0.85</v>
      </c>
      <c r="M41" s="267">
        <f t="shared" si="3"/>
        <v>0.85</v>
      </c>
      <c r="N41" s="267">
        <v>4.97</v>
      </c>
      <c r="O41" s="267">
        <v>3.95</v>
      </c>
      <c r="P41" s="267">
        <f t="shared" si="4"/>
        <v>-1.0199999999999996</v>
      </c>
      <c r="Q41" s="275"/>
      <c r="R41" s="275"/>
      <c r="S41" s="275"/>
      <c r="T41" s="275"/>
      <c r="U41" s="275"/>
      <c r="V41" s="485"/>
      <c r="W41" s="275"/>
      <c r="X41" s="275"/>
      <c r="Y41" s="275"/>
      <c r="Z41" s="275"/>
      <c r="AA41" s="275"/>
      <c r="AB41" s="275"/>
      <c r="AC41" s="275"/>
      <c r="AD41" s="275"/>
      <c r="AE41" s="302"/>
    </row>
    <row r="42" spans="1:42">
      <c r="A42" s="266">
        <v>3.11</v>
      </c>
      <c r="B42" s="296" t="s">
        <v>478</v>
      </c>
      <c r="C42" s="267">
        <v>80</v>
      </c>
      <c r="D42" s="171">
        <v>113.32</v>
      </c>
      <c r="E42" s="267">
        <v>0</v>
      </c>
      <c r="F42" s="298">
        <v>0</v>
      </c>
      <c r="G42" s="298">
        <f t="shared" si="1"/>
        <v>0</v>
      </c>
      <c r="H42" s="267">
        <v>0</v>
      </c>
      <c r="I42" s="267">
        <v>0</v>
      </c>
      <c r="J42" s="267">
        <f t="shared" si="2"/>
        <v>0</v>
      </c>
      <c r="K42" s="267">
        <v>0</v>
      </c>
      <c r="L42" s="267">
        <v>0</v>
      </c>
      <c r="M42" s="267">
        <f t="shared" si="3"/>
        <v>0</v>
      </c>
      <c r="N42" s="267">
        <v>80</v>
      </c>
      <c r="O42" s="267">
        <v>184</v>
      </c>
      <c r="P42" s="267">
        <f t="shared" si="4"/>
        <v>104</v>
      </c>
      <c r="Q42" s="275"/>
      <c r="R42" s="275"/>
      <c r="S42" s="275"/>
      <c r="T42" s="275"/>
      <c r="U42" s="275"/>
      <c r="V42" s="485"/>
      <c r="W42" s="275"/>
      <c r="X42" s="275"/>
      <c r="Y42" s="275"/>
      <c r="Z42" s="275"/>
      <c r="AA42" s="275"/>
      <c r="AB42" s="275"/>
      <c r="AC42" s="275"/>
      <c r="AD42" s="275"/>
      <c r="AE42" s="302"/>
    </row>
    <row r="43" spans="1:42" ht="36">
      <c r="A43" s="266">
        <v>3.12</v>
      </c>
      <c r="B43" s="296" t="s">
        <v>626</v>
      </c>
      <c r="C43" s="267">
        <v>145</v>
      </c>
      <c r="D43" s="171">
        <v>145</v>
      </c>
      <c r="E43" s="267">
        <v>52.18</v>
      </c>
      <c r="F43" s="267">
        <f>E43</f>
        <v>52.18</v>
      </c>
      <c r="G43" s="267">
        <f t="shared" si="1"/>
        <v>0</v>
      </c>
      <c r="H43" s="267">
        <v>13.54</v>
      </c>
      <c r="I43" s="267">
        <v>11.32</v>
      </c>
      <c r="J43" s="267">
        <f t="shared" si="2"/>
        <v>-2.2199999999999989</v>
      </c>
      <c r="K43" s="267">
        <v>0</v>
      </c>
      <c r="L43" s="267">
        <v>26.8</v>
      </c>
      <c r="M43" s="267">
        <f t="shared" si="3"/>
        <v>26.8</v>
      </c>
      <c r="N43" s="267">
        <v>14.28</v>
      </c>
      <c r="O43" s="267">
        <v>54.7</v>
      </c>
      <c r="P43" s="267">
        <f t="shared" si="4"/>
        <v>40.42</v>
      </c>
      <c r="Q43" s="275"/>
      <c r="R43" s="275"/>
      <c r="S43" s="275"/>
      <c r="T43" s="275"/>
      <c r="U43" s="275"/>
      <c r="V43" s="485"/>
      <c r="W43" s="275"/>
      <c r="X43" s="275"/>
      <c r="Y43" s="275"/>
      <c r="Z43" s="275"/>
      <c r="AA43" s="275"/>
      <c r="AB43" s="275"/>
      <c r="AC43" s="275"/>
      <c r="AD43" s="275"/>
      <c r="AE43" s="302"/>
    </row>
    <row r="44" spans="1:42">
      <c r="A44" s="266">
        <v>3.13</v>
      </c>
      <c r="B44" s="296" t="s">
        <v>479</v>
      </c>
      <c r="C44" s="267">
        <v>5</v>
      </c>
      <c r="D44" s="171">
        <v>5</v>
      </c>
      <c r="E44" s="267">
        <v>0.79</v>
      </c>
      <c r="F44" s="267">
        <v>0.79</v>
      </c>
      <c r="G44" s="267">
        <f t="shared" si="1"/>
        <v>0</v>
      </c>
      <c r="H44" s="267">
        <v>0.18</v>
      </c>
      <c r="I44" s="267">
        <v>-0.01</v>
      </c>
      <c r="J44" s="267">
        <f t="shared" si="2"/>
        <v>-0.19</v>
      </c>
      <c r="K44" s="267">
        <v>0</v>
      </c>
      <c r="L44" s="267">
        <v>0.09</v>
      </c>
      <c r="M44" s="267">
        <f t="shared" si="3"/>
        <v>0.09</v>
      </c>
      <c r="N44" s="267">
        <v>4.03</v>
      </c>
      <c r="O44" s="267">
        <v>3.13</v>
      </c>
      <c r="P44" s="267">
        <f t="shared" si="4"/>
        <v>-0.90000000000000036</v>
      </c>
      <c r="Q44" s="275"/>
      <c r="R44" s="275"/>
      <c r="S44" s="275"/>
      <c r="T44" s="275"/>
      <c r="U44" s="275"/>
      <c r="V44" s="485"/>
      <c r="W44" s="275"/>
      <c r="X44" s="275"/>
      <c r="Y44" s="275"/>
      <c r="Z44" s="275"/>
      <c r="AA44" s="275"/>
      <c r="AB44" s="275"/>
      <c r="AC44" s="275"/>
      <c r="AD44" s="275"/>
      <c r="AE44" s="302"/>
    </row>
    <row r="45" spans="1:42" ht="36">
      <c r="A45" s="266">
        <v>3.14</v>
      </c>
      <c r="B45" s="296" t="s">
        <v>637</v>
      </c>
      <c r="C45" s="267">
        <v>22.1</v>
      </c>
      <c r="D45" s="171">
        <v>22.1</v>
      </c>
      <c r="E45" s="267">
        <v>9.4499999999999993</v>
      </c>
      <c r="F45" s="267">
        <v>9.4499999999999993</v>
      </c>
      <c r="G45" s="267">
        <f t="shared" si="1"/>
        <v>0</v>
      </c>
      <c r="H45" s="267">
        <v>0.6</v>
      </c>
      <c r="I45" s="267">
        <v>0.6</v>
      </c>
      <c r="J45" s="267">
        <f t="shared" si="2"/>
        <v>0</v>
      </c>
      <c r="K45" s="267">
        <v>0</v>
      </c>
      <c r="L45" s="267">
        <v>0.68</v>
      </c>
      <c r="M45" s="267">
        <f t="shared" si="3"/>
        <v>0.68</v>
      </c>
      <c r="N45" s="267">
        <v>12.05</v>
      </c>
      <c r="O45" s="267">
        <v>11.37</v>
      </c>
      <c r="P45" s="267">
        <f t="shared" si="4"/>
        <v>-0.68000000000000149</v>
      </c>
      <c r="Q45" s="275"/>
      <c r="R45" s="275"/>
      <c r="S45" s="275"/>
      <c r="T45" s="275"/>
      <c r="U45" s="275"/>
      <c r="V45" s="485"/>
      <c r="W45" s="275"/>
      <c r="X45" s="275"/>
      <c r="Y45" s="275"/>
      <c r="Z45" s="275"/>
      <c r="AA45" s="275"/>
      <c r="AB45" s="275"/>
      <c r="AC45" s="275"/>
      <c r="AD45" s="275"/>
      <c r="AE45" s="302"/>
    </row>
    <row r="46" spans="1:42" ht="24">
      <c r="A46" s="266">
        <v>3.15</v>
      </c>
      <c r="B46" s="296" t="s">
        <v>481</v>
      </c>
      <c r="C46" s="267">
        <v>2</v>
      </c>
      <c r="D46" s="171">
        <v>2</v>
      </c>
      <c r="E46" s="267">
        <v>0.42</v>
      </c>
      <c r="F46" s="267">
        <v>0.42</v>
      </c>
      <c r="G46" s="267">
        <f t="shared" si="1"/>
        <v>0</v>
      </c>
      <c r="H46" s="267">
        <v>0</v>
      </c>
      <c r="I46" s="267">
        <v>0.03</v>
      </c>
      <c r="J46" s="267">
        <f t="shared" si="2"/>
        <v>0.03</v>
      </c>
      <c r="K46" s="267">
        <v>0</v>
      </c>
      <c r="L46" s="267">
        <v>0</v>
      </c>
      <c r="M46" s="267">
        <f t="shared" si="3"/>
        <v>0</v>
      </c>
      <c r="N46" s="267">
        <v>1.58</v>
      </c>
      <c r="O46" s="267">
        <v>1.55</v>
      </c>
      <c r="P46" s="267">
        <f t="shared" si="4"/>
        <v>-3.0000000000000027E-2</v>
      </c>
      <c r="Q46" s="275"/>
      <c r="R46" s="275"/>
      <c r="S46" s="275"/>
      <c r="T46" s="275"/>
      <c r="U46" s="275"/>
      <c r="V46" s="485"/>
      <c r="W46" s="275"/>
      <c r="X46" s="275"/>
      <c r="Y46" s="275"/>
      <c r="Z46" s="275"/>
      <c r="AA46" s="275"/>
      <c r="AB46" s="275"/>
      <c r="AC46" s="275"/>
      <c r="AD46" s="275"/>
      <c r="AE46" s="302"/>
    </row>
    <row r="47" spans="1:42" ht="24">
      <c r="A47" s="266">
        <v>3.16</v>
      </c>
      <c r="B47" s="296" t="s">
        <v>484</v>
      </c>
      <c r="C47" s="267">
        <v>5</v>
      </c>
      <c r="D47" s="171">
        <v>5</v>
      </c>
      <c r="E47" s="267">
        <v>2.37</v>
      </c>
      <c r="F47" s="267">
        <v>2.37</v>
      </c>
      <c r="G47" s="267">
        <f t="shared" si="1"/>
        <v>0</v>
      </c>
      <c r="H47" s="267">
        <v>0</v>
      </c>
      <c r="I47" s="267">
        <v>-0.19</v>
      </c>
      <c r="J47" s="267">
        <f t="shared" si="2"/>
        <v>-0.19</v>
      </c>
      <c r="K47" s="267">
        <v>0</v>
      </c>
      <c r="L47" s="267">
        <v>0.54</v>
      </c>
      <c r="M47" s="267">
        <f t="shared" si="3"/>
        <v>0.54</v>
      </c>
      <c r="N47" s="267">
        <v>2.63</v>
      </c>
      <c r="O47" s="267">
        <v>3.28</v>
      </c>
      <c r="P47" s="267">
        <f t="shared" si="4"/>
        <v>0.64999999999999991</v>
      </c>
      <c r="Q47" s="275"/>
      <c r="R47" s="275"/>
      <c r="S47" s="275"/>
      <c r="T47" s="275"/>
      <c r="U47" s="275"/>
      <c r="V47" s="485"/>
      <c r="W47" s="275"/>
      <c r="X47" s="275"/>
      <c r="Y47" s="275"/>
      <c r="Z47" s="275"/>
      <c r="AA47" s="275"/>
      <c r="AB47" s="275"/>
      <c r="AC47" s="275"/>
      <c r="AD47" s="275"/>
      <c r="AE47" s="302"/>
    </row>
    <row r="48" spans="1:42">
      <c r="A48" s="266">
        <v>3.17</v>
      </c>
      <c r="B48" s="296" t="s">
        <v>485</v>
      </c>
      <c r="C48" s="267">
        <v>5</v>
      </c>
      <c r="D48" s="171">
        <v>5</v>
      </c>
      <c r="E48" s="267">
        <v>3.48</v>
      </c>
      <c r="F48" s="267">
        <v>3.48</v>
      </c>
      <c r="G48" s="267">
        <f t="shared" si="1"/>
        <v>0</v>
      </c>
      <c r="H48" s="267">
        <v>0.33</v>
      </c>
      <c r="I48" s="267">
        <v>0.51</v>
      </c>
      <c r="J48" s="267">
        <f t="shared" si="2"/>
        <v>0.18</v>
      </c>
      <c r="K48" s="267">
        <v>0</v>
      </c>
      <c r="L48" s="275">
        <v>0.51</v>
      </c>
      <c r="M48" s="275">
        <f t="shared" si="3"/>
        <v>0.51</v>
      </c>
      <c r="N48" s="267">
        <v>1.19</v>
      </c>
      <c r="O48" s="267">
        <v>3.5</v>
      </c>
      <c r="P48" s="267">
        <f t="shared" si="4"/>
        <v>2.31</v>
      </c>
      <c r="Q48" s="275"/>
      <c r="R48" s="275"/>
      <c r="S48" s="275"/>
      <c r="T48" s="275"/>
      <c r="U48" s="275"/>
      <c r="V48" s="485"/>
      <c r="W48" s="275"/>
      <c r="X48" s="275"/>
      <c r="Y48" s="275"/>
      <c r="Z48" s="275"/>
      <c r="AA48" s="275"/>
      <c r="AB48" s="275"/>
      <c r="AC48" s="275"/>
      <c r="AD48" s="275"/>
      <c r="AE48" s="302"/>
    </row>
    <row r="49" spans="1:31">
      <c r="A49" s="441">
        <v>3.18</v>
      </c>
      <c r="B49" s="367" t="s">
        <v>627</v>
      </c>
      <c r="C49" s="267">
        <v>0</v>
      </c>
      <c r="D49" s="171">
        <v>28.69</v>
      </c>
      <c r="E49" s="267">
        <v>0</v>
      </c>
      <c r="F49" s="267">
        <v>0</v>
      </c>
      <c r="G49" s="267">
        <f t="shared" si="1"/>
        <v>0</v>
      </c>
      <c r="H49" s="267">
        <v>28.69</v>
      </c>
      <c r="I49" s="267">
        <v>0</v>
      </c>
      <c r="J49" s="267">
        <f t="shared" si="2"/>
        <v>-28.69</v>
      </c>
      <c r="K49" s="267">
        <v>0</v>
      </c>
      <c r="L49" s="267">
        <v>28.7</v>
      </c>
      <c r="M49" s="267">
        <f t="shared" si="3"/>
        <v>28.7</v>
      </c>
      <c r="N49" s="267">
        <v>0</v>
      </c>
      <c r="O49" s="267">
        <v>0</v>
      </c>
      <c r="P49" s="267">
        <f t="shared" si="4"/>
        <v>0</v>
      </c>
      <c r="Q49" s="275"/>
      <c r="R49" s="275"/>
      <c r="S49" s="275"/>
      <c r="T49" s="275"/>
      <c r="U49" s="275"/>
      <c r="V49" s="485"/>
      <c r="W49" s="275"/>
      <c r="X49" s="275"/>
      <c r="Y49" s="275"/>
      <c r="Z49" s="275"/>
      <c r="AA49" s="275"/>
      <c r="AB49" s="275"/>
      <c r="AC49" s="275"/>
      <c r="AD49" s="275"/>
      <c r="AE49" s="302"/>
    </row>
    <row r="50" spans="1:31" ht="36">
      <c r="A50" s="176"/>
      <c r="B50" s="170" t="s">
        <v>487</v>
      </c>
      <c r="C50" s="294">
        <f>SUM(C32:C49)</f>
        <v>920.98</v>
      </c>
      <c r="D50" s="171">
        <f>SUM(D32:D49)</f>
        <v>983.18</v>
      </c>
      <c r="E50" s="294">
        <f t="shared" ref="E50:O50" si="5">SUM(E32:E49)</f>
        <v>328.29000000000008</v>
      </c>
      <c r="F50" s="294">
        <f t="shared" si="5"/>
        <v>328.29000000000008</v>
      </c>
      <c r="G50" s="294">
        <f t="shared" si="1"/>
        <v>0</v>
      </c>
      <c r="H50" s="294">
        <f t="shared" si="5"/>
        <v>60.57</v>
      </c>
      <c r="I50" s="294">
        <f t="shared" si="5"/>
        <v>21.06</v>
      </c>
      <c r="J50" s="294">
        <f t="shared" si="2"/>
        <v>-39.510000000000005</v>
      </c>
      <c r="K50" s="294">
        <f t="shared" si="5"/>
        <v>0</v>
      </c>
      <c r="L50" s="294">
        <f t="shared" si="5"/>
        <v>63.47</v>
      </c>
      <c r="M50" s="294">
        <f t="shared" si="3"/>
        <v>63.47</v>
      </c>
      <c r="N50" s="294">
        <f t="shared" si="5"/>
        <v>495.99999999999994</v>
      </c>
      <c r="O50" s="294">
        <f t="shared" si="5"/>
        <v>593.67999999999995</v>
      </c>
      <c r="P50" s="294">
        <f t="shared" si="4"/>
        <v>97.68</v>
      </c>
      <c r="Q50" s="275"/>
      <c r="R50" s="275"/>
      <c r="S50" s="275"/>
      <c r="T50" s="275"/>
      <c r="U50" s="275"/>
      <c r="V50" s="485"/>
      <c r="W50" s="275"/>
      <c r="X50" s="275"/>
      <c r="Y50" s="275"/>
      <c r="Z50" s="275"/>
      <c r="AA50" s="275"/>
      <c r="AB50" s="275"/>
      <c r="AC50" s="275"/>
      <c r="AD50" s="275"/>
      <c r="AE50" s="302"/>
    </row>
    <row r="51" spans="1:31">
      <c r="A51" s="176">
        <v>4</v>
      </c>
      <c r="B51" s="187" t="s">
        <v>488</v>
      </c>
      <c r="C51" s="187"/>
      <c r="D51" s="171"/>
      <c r="E51" s="187"/>
      <c r="F51" s="187"/>
      <c r="G51" s="187"/>
      <c r="H51" s="187"/>
      <c r="I51" s="187"/>
      <c r="J51" s="187"/>
      <c r="K51" s="187"/>
      <c r="L51" s="187"/>
      <c r="M51" s="187">
        <f t="shared" si="3"/>
        <v>0</v>
      </c>
      <c r="N51" s="187"/>
      <c r="O51" s="187"/>
      <c r="P51" s="187">
        <f t="shared" si="4"/>
        <v>0</v>
      </c>
      <c r="Q51" s="275"/>
      <c r="R51" s="275"/>
      <c r="S51" s="275"/>
      <c r="T51" s="275"/>
      <c r="U51" s="275"/>
      <c r="V51" s="485"/>
      <c r="W51" s="275"/>
      <c r="X51" s="275"/>
      <c r="Y51" s="275"/>
      <c r="Z51" s="275"/>
      <c r="AA51" s="275"/>
      <c r="AB51" s="275"/>
      <c r="AC51" s="275"/>
      <c r="AD51" s="275"/>
      <c r="AE51" s="302"/>
    </row>
    <row r="52" spans="1:31" ht="36">
      <c r="A52" s="266">
        <v>4.0999999999999996</v>
      </c>
      <c r="B52" s="296" t="s">
        <v>638</v>
      </c>
      <c r="C52" s="267">
        <v>42</v>
      </c>
      <c r="D52" s="171">
        <v>42</v>
      </c>
      <c r="E52" s="267"/>
      <c r="F52" s="298">
        <f>D52</f>
        <v>42</v>
      </c>
      <c r="G52" s="298"/>
      <c r="H52" s="267"/>
      <c r="I52" s="267">
        <v>6.02</v>
      </c>
      <c r="J52" s="267">
        <f t="shared" ref="J52:J62" si="6">I52-H52</f>
        <v>6.02</v>
      </c>
      <c r="K52" s="267"/>
      <c r="L52" s="267">
        <v>0</v>
      </c>
      <c r="M52" s="267">
        <f t="shared" si="3"/>
        <v>0</v>
      </c>
      <c r="N52" s="267"/>
      <c r="O52" s="267">
        <v>0.98</v>
      </c>
      <c r="P52" s="267">
        <f t="shared" si="4"/>
        <v>0.98</v>
      </c>
      <c r="Q52" s="275"/>
      <c r="R52" s="275"/>
      <c r="S52" s="275"/>
      <c r="T52" s="275"/>
      <c r="U52" s="275"/>
      <c r="V52" s="485"/>
      <c r="W52" s="275"/>
      <c r="X52" s="275"/>
      <c r="Y52" s="275"/>
      <c r="Z52" s="275"/>
      <c r="AA52" s="275"/>
      <c r="AB52" s="275"/>
      <c r="AC52" s="275"/>
      <c r="AD52" s="275"/>
      <c r="AE52" s="302"/>
    </row>
    <row r="53" spans="1:31">
      <c r="A53" s="266">
        <v>4.2</v>
      </c>
      <c r="B53" s="296" t="s">
        <v>483</v>
      </c>
      <c r="C53" s="267">
        <v>25</v>
      </c>
      <c r="D53" s="171">
        <v>25</v>
      </c>
      <c r="E53" s="267"/>
      <c r="F53" s="298">
        <v>24.97</v>
      </c>
      <c r="G53" s="298"/>
      <c r="H53" s="267"/>
      <c r="I53" s="267">
        <v>-0.56999999999999995</v>
      </c>
      <c r="J53" s="267">
        <f t="shared" si="6"/>
        <v>-0.56999999999999995</v>
      </c>
      <c r="K53" s="267"/>
      <c r="L53" s="267">
        <v>0</v>
      </c>
      <c r="M53" s="267">
        <f t="shared" si="3"/>
        <v>0</v>
      </c>
      <c r="N53" s="267"/>
      <c r="O53" s="267">
        <v>5.6</v>
      </c>
      <c r="P53" s="267">
        <f t="shared" si="4"/>
        <v>5.6</v>
      </c>
      <c r="Q53" s="275"/>
      <c r="R53" s="275"/>
      <c r="S53" s="275"/>
      <c r="T53" s="275"/>
      <c r="U53" s="275"/>
      <c r="V53" s="485"/>
      <c r="W53" s="275"/>
      <c r="X53" s="275"/>
      <c r="Y53" s="275"/>
      <c r="Z53" s="275"/>
      <c r="AA53" s="275"/>
      <c r="AB53" s="275"/>
      <c r="AC53" s="275"/>
      <c r="AD53" s="275"/>
      <c r="AE53" s="302"/>
    </row>
    <row r="54" spans="1:31">
      <c r="A54" s="266">
        <v>4.3</v>
      </c>
      <c r="B54" s="296" t="s">
        <v>492</v>
      </c>
      <c r="C54" s="267">
        <v>40</v>
      </c>
      <c r="D54" s="171">
        <v>40.78</v>
      </c>
      <c r="E54" s="187"/>
      <c r="F54" s="298">
        <f t="shared" ref="F54:F61" si="7">D54</f>
        <v>40.78</v>
      </c>
      <c r="G54" s="298"/>
      <c r="H54" s="187"/>
      <c r="I54" s="187">
        <v>-0.57999999999999996</v>
      </c>
      <c r="J54" s="187">
        <f t="shared" si="6"/>
        <v>-0.57999999999999996</v>
      </c>
      <c r="K54" s="187"/>
      <c r="L54" s="187">
        <v>0</v>
      </c>
      <c r="M54" s="187">
        <f t="shared" si="3"/>
        <v>0</v>
      </c>
      <c r="N54" s="187"/>
      <c r="O54" s="187">
        <v>0.8</v>
      </c>
      <c r="P54" s="187">
        <f t="shared" si="4"/>
        <v>0.8</v>
      </c>
      <c r="Q54" s="275"/>
      <c r="R54" s="275"/>
      <c r="S54" s="275"/>
      <c r="T54" s="275"/>
      <c r="U54" s="275"/>
      <c r="V54" s="485"/>
      <c r="W54" s="275"/>
      <c r="X54" s="275"/>
      <c r="Y54" s="275"/>
      <c r="Z54" s="275"/>
      <c r="AA54" s="275"/>
      <c r="AB54" s="275"/>
      <c r="AC54" s="275"/>
      <c r="AD54" s="275"/>
      <c r="AE54" s="302"/>
    </row>
    <row r="55" spans="1:31">
      <c r="A55" s="266">
        <v>4.5</v>
      </c>
      <c r="B55" s="296" t="s">
        <v>493</v>
      </c>
      <c r="C55" s="267">
        <v>1.5</v>
      </c>
      <c r="D55" s="171">
        <v>1.5</v>
      </c>
      <c r="E55" s="267"/>
      <c r="F55" s="298">
        <v>0</v>
      </c>
      <c r="G55" s="298"/>
      <c r="H55" s="267"/>
      <c r="I55" s="267">
        <v>0</v>
      </c>
      <c r="J55" s="267">
        <f t="shared" si="6"/>
        <v>0</v>
      </c>
      <c r="K55" s="267"/>
      <c r="L55" s="267">
        <v>0</v>
      </c>
      <c r="M55" s="267">
        <f t="shared" si="3"/>
        <v>0</v>
      </c>
      <c r="N55" s="267"/>
      <c r="O55" s="267">
        <v>2</v>
      </c>
      <c r="P55" s="267">
        <f t="shared" si="4"/>
        <v>2</v>
      </c>
      <c r="Q55" s="275"/>
      <c r="R55" s="275"/>
      <c r="S55" s="275"/>
      <c r="T55" s="275"/>
      <c r="U55" s="275"/>
      <c r="V55" s="485"/>
      <c r="W55" s="275"/>
      <c r="X55" s="275"/>
      <c r="Y55" s="275"/>
      <c r="Z55" s="275"/>
      <c r="AA55" s="275"/>
      <c r="AB55" s="275"/>
      <c r="AC55" s="275"/>
      <c r="AD55" s="275"/>
      <c r="AE55" s="302"/>
    </row>
    <row r="56" spans="1:31">
      <c r="A56" s="266">
        <v>4.5999999999999996</v>
      </c>
      <c r="B56" s="296" t="s">
        <v>489</v>
      </c>
      <c r="C56" s="267">
        <v>47.52</v>
      </c>
      <c r="D56" s="171">
        <v>47.52</v>
      </c>
      <c r="E56" s="267"/>
      <c r="F56" s="298">
        <v>11.32</v>
      </c>
      <c r="G56" s="298"/>
      <c r="H56" s="267"/>
      <c r="I56" s="267">
        <v>2.4700000000000002</v>
      </c>
      <c r="J56" s="267">
        <f t="shared" si="6"/>
        <v>2.4700000000000002</v>
      </c>
      <c r="K56" s="267"/>
      <c r="L56" s="267">
        <v>2.41</v>
      </c>
      <c r="M56" s="267">
        <f t="shared" si="3"/>
        <v>2.41</v>
      </c>
      <c r="N56" s="267"/>
      <c r="O56" s="267">
        <v>-11.2</v>
      </c>
      <c r="P56" s="267">
        <f t="shared" si="4"/>
        <v>-11.2</v>
      </c>
      <c r="Q56" s="275"/>
      <c r="R56" s="275"/>
      <c r="S56" s="275"/>
      <c r="T56" s="275"/>
      <c r="U56" s="275"/>
      <c r="V56" s="485"/>
      <c r="W56" s="275"/>
      <c r="X56" s="275"/>
      <c r="Y56" s="275"/>
      <c r="Z56" s="275"/>
      <c r="AA56" s="275"/>
      <c r="AB56" s="275"/>
      <c r="AC56" s="275"/>
      <c r="AD56" s="275"/>
      <c r="AE56" s="302"/>
    </row>
    <row r="57" spans="1:31">
      <c r="A57" s="266">
        <v>4.7</v>
      </c>
      <c r="B57" s="296" t="s">
        <v>490</v>
      </c>
      <c r="C57" s="267">
        <v>70</v>
      </c>
      <c r="D57" s="171">
        <v>70</v>
      </c>
      <c r="E57" s="267"/>
      <c r="F57" s="298">
        <v>69.8</v>
      </c>
      <c r="G57" s="298"/>
      <c r="H57" s="267"/>
      <c r="I57" s="267">
        <v>20.09</v>
      </c>
      <c r="J57" s="267">
        <f t="shared" si="6"/>
        <v>20.09</v>
      </c>
      <c r="K57" s="267"/>
      <c r="L57" s="267">
        <v>-1.1599999999999999</v>
      </c>
      <c r="M57" s="267">
        <f t="shared" si="3"/>
        <v>-1.1599999999999999</v>
      </c>
      <c r="N57" s="267"/>
      <c r="O57" s="267">
        <v>5.27</v>
      </c>
      <c r="P57" s="267">
        <f t="shared" si="4"/>
        <v>5.27</v>
      </c>
      <c r="Q57" s="275"/>
      <c r="R57" s="275"/>
      <c r="S57" s="275"/>
      <c r="T57" s="275"/>
      <c r="U57" s="275"/>
      <c r="V57" s="485"/>
      <c r="W57" s="275"/>
      <c r="X57" s="275"/>
      <c r="Y57" s="275"/>
      <c r="Z57" s="275"/>
      <c r="AA57" s="275"/>
      <c r="AB57" s="275"/>
      <c r="AC57" s="275"/>
      <c r="AD57" s="275"/>
      <c r="AE57" s="302"/>
    </row>
    <row r="58" spans="1:31" ht="24">
      <c r="A58" s="266">
        <v>4.7</v>
      </c>
      <c r="B58" s="296" t="s">
        <v>491</v>
      </c>
      <c r="C58" s="267">
        <v>127</v>
      </c>
      <c r="D58" s="171">
        <v>127</v>
      </c>
      <c r="E58" s="267"/>
      <c r="F58" s="298">
        <v>109.73</v>
      </c>
      <c r="G58" s="298"/>
      <c r="H58" s="267"/>
      <c r="I58" s="267">
        <v>5.2</v>
      </c>
      <c r="J58" s="267">
        <f t="shared" si="6"/>
        <v>5.2</v>
      </c>
      <c r="K58" s="267"/>
      <c r="L58" s="267">
        <v>4.51</v>
      </c>
      <c r="M58" s="267">
        <f t="shared" si="3"/>
        <v>4.51</v>
      </c>
      <c r="N58" s="267"/>
      <c r="O58" s="267">
        <v>0.56000000000000005</v>
      </c>
      <c r="P58" s="267">
        <f t="shared" si="4"/>
        <v>0.56000000000000005</v>
      </c>
      <c r="Q58" s="275"/>
      <c r="R58" s="275"/>
      <c r="S58" s="275"/>
      <c r="T58" s="275"/>
      <c r="U58" s="275"/>
      <c r="V58" s="485"/>
      <c r="W58" s="275"/>
      <c r="X58" s="275"/>
      <c r="Y58" s="275"/>
      <c r="Z58" s="275"/>
      <c r="AA58" s="275"/>
      <c r="AB58" s="275"/>
      <c r="AC58" s="275"/>
      <c r="AD58" s="275"/>
      <c r="AE58" s="302"/>
    </row>
    <row r="59" spans="1:31" ht="24">
      <c r="A59" s="442">
        <v>4.9000000000000004</v>
      </c>
      <c r="B59" s="296" t="s">
        <v>494</v>
      </c>
      <c r="C59" s="267">
        <v>0</v>
      </c>
      <c r="D59" s="171">
        <v>0</v>
      </c>
      <c r="E59" s="267"/>
      <c r="F59" s="298">
        <f t="shared" si="7"/>
        <v>0</v>
      </c>
      <c r="G59" s="298"/>
      <c r="H59" s="267"/>
      <c r="I59" s="267">
        <v>2.96</v>
      </c>
      <c r="J59" s="267">
        <f t="shared" si="6"/>
        <v>2.96</v>
      </c>
      <c r="K59" s="267"/>
      <c r="L59" s="267">
        <v>0</v>
      </c>
      <c r="M59" s="267">
        <f t="shared" si="3"/>
        <v>0</v>
      </c>
      <c r="N59" s="267"/>
      <c r="O59" s="267">
        <v>-2.96</v>
      </c>
      <c r="P59" s="267">
        <f t="shared" si="4"/>
        <v>-2.96</v>
      </c>
      <c r="Q59" s="275"/>
      <c r="R59" s="275"/>
      <c r="S59" s="275"/>
      <c r="T59" s="275"/>
      <c r="U59" s="275"/>
      <c r="V59" s="485"/>
      <c r="W59" s="275"/>
      <c r="X59" s="275"/>
      <c r="Y59" s="275"/>
      <c r="Z59" s="275"/>
      <c r="AA59" s="275"/>
      <c r="AB59" s="275"/>
      <c r="AC59" s="275"/>
      <c r="AD59" s="275"/>
      <c r="AE59" s="302"/>
    </row>
    <row r="60" spans="1:31">
      <c r="A60" s="272">
        <v>4.0999999999999996</v>
      </c>
      <c r="B60" s="296" t="s">
        <v>495</v>
      </c>
      <c r="C60" s="267">
        <v>0</v>
      </c>
      <c r="D60" s="171">
        <v>0</v>
      </c>
      <c r="E60" s="267"/>
      <c r="F60" s="298">
        <f t="shared" si="7"/>
        <v>0</v>
      </c>
      <c r="G60" s="298"/>
      <c r="H60" s="267"/>
      <c r="I60" s="267">
        <v>0</v>
      </c>
      <c r="J60" s="267">
        <f t="shared" si="6"/>
        <v>0</v>
      </c>
      <c r="K60" s="267"/>
      <c r="L60" s="267">
        <v>0</v>
      </c>
      <c r="M60" s="267">
        <f t="shared" si="3"/>
        <v>0</v>
      </c>
      <c r="N60" s="267"/>
      <c r="O60" s="267">
        <v>0</v>
      </c>
      <c r="P60" s="267">
        <f t="shared" si="4"/>
        <v>0</v>
      </c>
      <c r="Q60" s="275"/>
      <c r="R60" s="275"/>
      <c r="S60" s="275"/>
      <c r="T60" s="275"/>
      <c r="U60" s="275"/>
      <c r="V60" s="485"/>
      <c r="W60" s="275"/>
      <c r="X60" s="275"/>
      <c r="Y60" s="275"/>
      <c r="Z60" s="275"/>
      <c r="AA60" s="275"/>
      <c r="AB60" s="275"/>
      <c r="AC60" s="275"/>
      <c r="AD60" s="275"/>
      <c r="AE60" s="302"/>
    </row>
    <row r="61" spans="1:31">
      <c r="A61" s="266">
        <v>4.1100000000000003</v>
      </c>
      <c r="B61" s="296" t="s">
        <v>628</v>
      </c>
      <c r="C61" s="267">
        <v>0</v>
      </c>
      <c r="D61" s="171">
        <v>20.9</v>
      </c>
      <c r="E61" s="267"/>
      <c r="F61" s="298">
        <f t="shared" si="7"/>
        <v>20.9</v>
      </c>
      <c r="G61" s="298"/>
      <c r="H61" s="267"/>
      <c r="I61" s="267">
        <v>-4</v>
      </c>
      <c r="J61" s="267">
        <f t="shared" si="6"/>
        <v>-4</v>
      </c>
      <c r="K61" s="267"/>
      <c r="L61" s="267">
        <v>0.1</v>
      </c>
      <c r="M61" s="267">
        <f t="shared" si="3"/>
        <v>0.1</v>
      </c>
      <c r="N61" s="267"/>
      <c r="O61" s="267">
        <v>0</v>
      </c>
      <c r="P61" s="267">
        <f t="shared" si="4"/>
        <v>0</v>
      </c>
      <c r="Q61" s="275"/>
      <c r="R61" s="275"/>
      <c r="S61" s="275"/>
      <c r="T61" s="275"/>
      <c r="U61" s="275"/>
      <c r="V61" s="485"/>
      <c r="W61" s="275"/>
      <c r="X61" s="275"/>
      <c r="Y61" s="275"/>
      <c r="Z61" s="275"/>
      <c r="AA61" s="275"/>
      <c r="AB61" s="275"/>
      <c r="AC61" s="275"/>
      <c r="AD61" s="275"/>
      <c r="AE61" s="302"/>
    </row>
    <row r="62" spans="1:31">
      <c r="A62" s="266"/>
      <c r="B62" s="296" t="s">
        <v>455</v>
      </c>
      <c r="C62" s="360">
        <f>SUM(C52:C61)</f>
        <v>353.02</v>
      </c>
      <c r="D62" s="171">
        <f>SUM(D52:D61)</f>
        <v>374.7</v>
      </c>
      <c r="E62" s="360">
        <v>291.10000000000002</v>
      </c>
      <c r="F62" s="360">
        <f>SUM(F52:F61)</f>
        <v>319.5</v>
      </c>
      <c r="G62" s="360">
        <f>F62-E62</f>
        <v>28.399999999999977</v>
      </c>
      <c r="H62" s="360">
        <v>6.24</v>
      </c>
      <c r="I62" s="360">
        <f>SUM(I52:I61)</f>
        <v>31.590000000000003</v>
      </c>
      <c r="J62" s="360">
        <f t="shared" si="6"/>
        <v>25.35</v>
      </c>
      <c r="K62" s="360">
        <v>0</v>
      </c>
      <c r="L62" s="360">
        <f>SUM(L52:L61)</f>
        <v>5.8599999999999994</v>
      </c>
      <c r="M62" s="360">
        <f t="shared" si="3"/>
        <v>5.8599999999999994</v>
      </c>
      <c r="N62" s="360">
        <v>37.229999999999997</v>
      </c>
      <c r="O62" s="360">
        <f>SUM(O52:O61)</f>
        <v>1.0499999999999998</v>
      </c>
      <c r="P62" s="360">
        <f t="shared" si="4"/>
        <v>-36.18</v>
      </c>
      <c r="Q62" s="275"/>
      <c r="R62" s="275"/>
      <c r="S62" s="275"/>
      <c r="T62" s="275"/>
      <c r="U62" s="275"/>
      <c r="V62" s="485"/>
      <c r="W62" s="275"/>
      <c r="X62" s="275"/>
      <c r="Y62" s="275"/>
      <c r="Z62" s="275"/>
      <c r="AA62" s="275"/>
      <c r="AB62" s="275"/>
      <c r="AC62" s="275"/>
      <c r="AD62" s="275"/>
      <c r="AE62" s="302"/>
    </row>
    <row r="63" spans="1:31" ht="25.5">
      <c r="A63" s="266">
        <v>5</v>
      </c>
      <c r="B63" s="440" t="s">
        <v>639</v>
      </c>
      <c r="C63" s="267"/>
      <c r="D63" s="171"/>
      <c r="E63" s="267"/>
      <c r="F63" s="267"/>
      <c r="G63" s="267"/>
      <c r="H63" s="267"/>
      <c r="I63" s="267"/>
      <c r="J63" s="267"/>
      <c r="K63" s="267"/>
      <c r="L63" s="267"/>
      <c r="M63" s="267">
        <f t="shared" si="3"/>
        <v>0</v>
      </c>
      <c r="N63" s="267"/>
      <c r="O63" s="267"/>
      <c r="P63" s="267">
        <f t="shared" si="4"/>
        <v>0</v>
      </c>
      <c r="Q63" s="275"/>
      <c r="R63" s="275"/>
      <c r="S63" s="275"/>
      <c r="T63" s="275"/>
      <c r="U63" s="275"/>
      <c r="V63" s="485"/>
      <c r="W63" s="275"/>
      <c r="X63" s="275"/>
      <c r="Y63" s="275"/>
      <c r="Z63" s="275"/>
      <c r="AA63" s="275"/>
      <c r="AB63" s="275"/>
      <c r="AC63" s="275"/>
      <c r="AD63" s="275"/>
      <c r="AE63" s="302"/>
    </row>
    <row r="64" spans="1:31">
      <c r="A64" s="266">
        <v>5.0999999999999996</v>
      </c>
      <c r="B64" s="296" t="s">
        <v>496</v>
      </c>
      <c r="C64" s="267">
        <v>2</v>
      </c>
      <c r="D64" s="171">
        <v>2</v>
      </c>
      <c r="E64" s="267">
        <v>0</v>
      </c>
      <c r="F64" s="267">
        <v>0</v>
      </c>
      <c r="G64" s="267"/>
      <c r="H64" s="267">
        <v>0</v>
      </c>
      <c r="I64" s="267">
        <v>0.5</v>
      </c>
      <c r="J64" s="267">
        <f>I64-H64</f>
        <v>0.5</v>
      </c>
      <c r="K64" s="267">
        <v>0</v>
      </c>
      <c r="L64" s="267">
        <v>0</v>
      </c>
      <c r="M64" s="267">
        <f t="shared" si="3"/>
        <v>0</v>
      </c>
      <c r="N64" s="267">
        <v>0</v>
      </c>
      <c r="O64" s="267">
        <v>0.5</v>
      </c>
      <c r="P64" s="267">
        <f t="shared" si="4"/>
        <v>0.5</v>
      </c>
      <c r="Q64" s="275"/>
      <c r="R64" s="275"/>
      <c r="S64" s="275"/>
      <c r="T64" s="275"/>
      <c r="U64" s="275"/>
      <c r="V64" s="485"/>
      <c r="W64" s="275"/>
      <c r="X64" s="275"/>
      <c r="Y64" s="275"/>
      <c r="Z64" s="275"/>
      <c r="AA64" s="275"/>
      <c r="AB64" s="275"/>
      <c r="AC64" s="275"/>
      <c r="AD64" s="275"/>
      <c r="AE64" s="302"/>
    </row>
    <row r="65" spans="1:31" ht="19.5" customHeight="1">
      <c r="A65" s="266">
        <v>5.2</v>
      </c>
      <c r="B65" s="296" t="s">
        <v>497</v>
      </c>
      <c r="C65" s="267">
        <v>1058</v>
      </c>
      <c r="D65" s="171">
        <v>1264.3399999999999</v>
      </c>
      <c r="E65" s="267">
        <v>883.63</v>
      </c>
      <c r="F65" s="298">
        <f>D65</f>
        <v>1264.3399999999999</v>
      </c>
      <c r="G65" s="298">
        <f>F65-E65</f>
        <v>380.70999999999992</v>
      </c>
      <c r="H65" s="267">
        <v>0</v>
      </c>
      <c r="I65" s="267">
        <v>16.64</v>
      </c>
      <c r="J65" s="267">
        <f>I65-H65</f>
        <v>16.64</v>
      </c>
      <c r="K65" s="267">
        <v>0</v>
      </c>
      <c r="L65" s="267">
        <v>21.55</v>
      </c>
      <c r="M65" s="267">
        <f t="shared" si="3"/>
        <v>21.55</v>
      </c>
      <c r="N65" s="267">
        <v>0</v>
      </c>
      <c r="O65" s="267">
        <v>-38.19</v>
      </c>
      <c r="P65" s="267">
        <f t="shared" si="4"/>
        <v>-38.19</v>
      </c>
      <c r="Q65" s="275"/>
      <c r="R65" s="275"/>
      <c r="S65" s="275"/>
      <c r="T65" s="275"/>
      <c r="U65" s="275"/>
      <c r="V65" s="485"/>
      <c r="W65" s="275"/>
      <c r="X65" s="275"/>
      <c r="Y65" s="275"/>
      <c r="Z65" s="275"/>
      <c r="AA65" s="275"/>
      <c r="AB65" s="275"/>
      <c r="AC65" s="275"/>
      <c r="AD65" s="275"/>
      <c r="AE65" s="302"/>
    </row>
    <row r="66" spans="1:31">
      <c r="A66" s="176"/>
      <c r="B66" s="296" t="s">
        <v>455</v>
      </c>
      <c r="C66" s="360">
        <f>C64+C65</f>
        <v>1060</v>
      </c>
      <c r="D66" s="171">
        <f>D64+D65</f>
        <v>1266.3399999999999</v>
      </c>
      <c r="E66" s="360">
        <f t="shared" ref="E66:O66" si="8">E64+E65</f>
        <v>883.63</v>
      </c>
      <c r="F66" s="360">
        <f t="shared" si="8"/>
        <v>1264.3399999999999</v>
      </c>
      <c r="G66" s="171"/>
      <c r="H66" s="360">
        <f t="shared" si="8"/>
        <v>0</v>
      </c>
      <c r="I66" s="360">
        <f t="shared" si="8"/>
        <v>17.14</v>
      </c>
      <c r="J66" s="360">
        <f>I66-H66</f>
        <v>17.14</v>
      </c>
      <c r="K66" s="360">
        <f t="shared" si="8"/>
        <v>0</v>
      </c>
      <c r="L66" s="360">
        <f t="shared" si="8"/>
        <v>21.55</v>
      </c>
      <c r="M66" s="360">
        <f t="shared" si="3"/>
        <v>21.55</v>
      </c>
      <c r="N66" s="360">
        <f t="shared" si="8"/>
        <v>0</v>
      </c>
      <c r="O66" s="360">
        <f t="shared" si="8"/>
        <v>-37.69</v>
      </c>
      <c r="P66" s="360">
        <f t="shared" si="4"/>
        <v>-37.69</v>
      </c>
      <c r="Q66" s="275"/>
      <c r="R66" s="275"/>
      <c r="S66" s="275"/>
      <c r="T66" s="275"/>
      <c r="U66" s="275"/>
      <c r="V66" s="485"/>
      <c r="W66" s="275"/>
      <c r="X66" s="275"/>
      <c r="Y66" s="275"/>
      <c r="Z66" s="275"/>
      <c r="AA66" s="275"/>
      <c r="AB66" s="275"/>
      <c r="AC66" s="275"/>
      <c r="AD66" s="275"/>
      <c r="AE66" s="302"/>
    </row>
    <row r="67" spans="1:31">
      <c r="A67" s="266"/>
      <c r="B67" s="296"/>
      <c r="C67" s="296"/>
      <c r="D67" s="296"/>
      <c r="E67" s="296"/>
      <c r="F67" s="296"/>
      <c r="G67" s="275"/>
      <c r="H67" s="296"/>
      <c r="I67" s="296"/>
      <c r="J67" s="296"/>
      <c r="K67" s="296"/>
      <c r="L67" s="296"/>
      <c r="M67" s="296">
        <f t="shared" si="3"/>
        <v>0</v>
      </c>
      <c r="N67" s="296"/>
      <c r="O67" s="296"/>
      <c r="P67" s="296">
        <f t="shared" si="4"/>
        <v>0</v>
      </c>
      <c r="Q67" s="275"/>
      <c r="R67" s="275"/>
      <c r="S67" s="275"/>
      <c r="T67" s="275"/>
      <c r="U67" s="275"/>
      <c r="V67" s="485"/>
      <c r="W67" s="275"/>
      <c r="X67" s="275"/>
      <c r="Y67" s="275"/>
      <c r="Z67" s="275"/>
      <c r="AA67" s="275"/>
      <c r="AB67" s="275"/>
      <c r="AC67" s="275"/>
      <c r="AD67" s="275"/>
      <c r="AE67" s="302"/>
    </row>
    <row r="68" spans="1:31" ht="24.75" thickBot="1">
      <c r="A68" s="363">
        <v>5</v>
      </c>
      <c r="B68" s="364" t="s">
        <v>499</v>
      </c>
      <c r="C68" s="365">
        <f>C22+C30+C50+C62+C66</f>
        <v>8250</v>
      </c>
      <c r="D68" s="365">
        <f>D22+D30+D50+D62+D66</f>
        <v>8540.2199999999993</v>
      </c>
      <c r="E68" s="365">
        <f t="shared" ref="E68:N68" si="9">E22+E30+E50+E62+E66</f>
        <v>7149.52</v>
      </c>
      <c r="F68" s="365">
        <f t="shared" si="9"/>
        <v>7558.63</v>
      </c>
      <c r="G68" s="489">
        <f>F68-E68</f>
        <v>409.10999999999967</v>
      </c>
      <c r="H68" s="365">
        <f t="shared" si="9"/>
        <v>124.85</v>
      </c>
      <c r="I68" s="365">
        <f t="shared" si="9"/>
        <v>72.53</v>
      </c>
      <c r="J68" s="365">
        <f t="shared" si="9"/>
        <v>-52.320000000000007</v>
      </c>
      <c r="K68" s="365">
        <f t="shared" si="9"/>
        <v>0</v>
      </c>
      <c r="L68" s="365">
        <f>L22+L30+L50+L62+L66</f>
        <v>191.2</v>
      </c>
      <c r="M68" s="365">
        <f t="shared" si="3"/>
        <v>191.2</v>
      </c>
      <c r="N68" s="365">
        <f t="shared" si="9"/>
        <v>744.68999999999994</v>
      </c>
      <c r="O68" s="365">
        <f>O22+O30+O50+O62+O66</f>
        <v>761.61999999999989</v>
      </c>
      <c r="P68" s="365">
        <f t="shared" si="4"/>
        <v>16.92999999999995</v>
      </c>
      <c r="Q68" s="306"/>
      <c r="R68" s="306"/>
      <c r="S68" s="306"/>
      <c r="T68" s="306"/>
      <c r="U68" s="306"/>
      <c r="V68" s="306"/>
      <c r="W68" s="306"/>
      <c r="X68" s="306"/>
      <c r="Y68" s="306"/>
      <c r="Z68" s="306"/>
      <c r="AA68" s="306"/>
      <c r="AB68" s="306"/>
      <c r="AC68" s="306"/>
      <c r="AD68" s="306"/>
      <c r="AE68" s="491"/>
    </row>
    <row r="69" spans="1:31">
      <c r="A69" s="178"/>
      <c r="B69" s="172" t="s">
        <v>643</v>
      </c>
      <c r="C69" s="172"/>
      <c r="E69" s="172">
        <f>-H91</f>
        <v>-448.54</v>
      </c>
      <c r="F69" s="172">
        <f>E69</f>
        <v>-448.54</v>
      </c>
      <c r="G69" s="172"/>
      <c r="H69" s="172"/>
      <c r="I69" s="172"/>
      <c r="J69" s="172"/>
      <c r="K69" s="172"/>
      <c r="L69" s="172"/>
      <c r="M69" s="172"/>
      <c r="N69" s="172"/>
      <c r="O69" s="172"/>
      <c r="W69" s="163"/>
    </row>
    <row r="70" spans="1:31">
      <c r="A70" s="178"/>
      <c r="B70" s="172" t="s">
        <v>853</v>
      </c>
      <c r="C70" s="172"/>
      <c r="E70" s="172">
        <f>H92</f>
        <v>4.7300000000000004</v>
      </c>
      <c r="F70" s="172">
        <f>E70</f>
        <v>4.7300000000000004</v>
      </c>
      <c r="G70" s="172"/>
      <c r="H70" s="172"/>
      <c r="I70" s="172"/>
      <c r="J70" s="172"/>
      <c r="K70" s="172"/>
      <c r="L70" s="172"/>
      <c r="M70" s="172"/>
      <c r="N70" s="172"/>
      <c r="O70" s="172"/>
      <c r="AE70" s="172"/>
    </row>
    <row r="71" spans="1:31">
      <c r="A71" s="178"/>
      <c r="B71" s="172" t="s">
        <v>413</v>
      </c>
      <c r="C71" s="172"/>
      <c r="E71" s="433">
        <f>E68+E69+E70</f>
        <v>6705.71</v>
      </c>
      <c r="F71" s="433">
        <f>F68+F69+F70</f>
        <v>7114.82</v>
      </c>
      <c r="G71" s="172"/>
      <c r="H71" s="172"/>
      <c r="I71" s="172"/>
      <c r="J71" s="172"/>
      <c r="K71" s="172"/>
      <c r="L71" s="172"/>
      <c r="M71" s="172"/>
      <c r="N71" s="172"/>
      <c r="O71" s="172"/>
      <c r="AE71" s="433"/>
    </row>
    <row r="72" spans="1:31">
      <c r="A72" s="178"/>
      <c r="B72" s="172"/>
      <c r="C72" s="172"/>
      <c r="E72" s="433"/>
      <c r="F72" s="433"/>
      <c r="G72" s="172"/>
      <c r="H72" s="172"/>
      <c r="I72" s="172"/>
      <c r="J72" s="172"/>
      <c r="K72" s="172"/>
      <c r="L72" s="172"/>
      <c r="M72" s="172"/>
      <c r="N72" s="172"/>
      <c r="O72" s="172"/>
      <c r="AE72" s="433"/>
    </row>
    <row r="73" spans="1:31">
      <c r="A73" s="178"/>
      <c r="B73" s="172" t="s">
        <v>659</v>
      </c>
      <c r="C73" s="172"/>
      <c r="E73" s="433"/>
      <c r="F73" s="433"/>
      <c r="G73" s="172"/>
      <c r="H73" s="172"/>
      <c r="I73" s="172"/>
      <c r="J73" s="172"/>
      <c r="K73" s="172"/>
      <c r="L73" s="172"/>
      <c r="M73" s="172"/>
      <c r="N73" s="172"/>
      <c r="O73" s="433"/>
      <c r="AE73" s="433"/>
    </row>
    <row r="74" spans="1:31">
      <c r="A74" s="178"/>
      <c r="B74" s="172" t="s">
        <v>737</v>
      </c>
      <c r="C74" s="172"/>
      <c r="D74" s="172"/>
      <c r="E74" s="172"/>
      <c r="F74" s="172"/>
      <c r="G74" s="172"/>
      <c r="H74" s="172"/>
      <c r="I74" s="172"/>
      <c r="J74" s="172"/>
      <c r="K74" s="172"/>
      <c r="L74" s="172"/>
      <c r="M74" s="172"/>
      <c r="N74" s="172"/>
      <c r="O74" s="433"/>
      <c r="AE74" s="437"/>
    </row>
    <row r="75" spans="1:31">
      <c r="A75" s="369"/>
      <c r="B75" s="172"/>
      <c r="C75" s="172"/>
      <c r="D75" s="172"/>
      <c r="E75" s="172"/>
      <c r="F75" s="172"/>
      <c r="G75" s="172"/>
      <c r="H75" s="172"/>
      <c r="I75" s="172"/>
      <c r="J75" s="172"/>
      <c r="K75" s="172"/>
      <c r="L75" s="172"/>
      <c r="M75" s="172"/>
      <c r="N75" s="172"/>
      <c r="O75" s="433"/>
      <c r="AE75" s="437"/>
    </row>
    <row r="76" spans="1:31" ht="57" hidden="1" customHeight="1">
      <c r="A76" s="2285"/>
      <c r="B76" s="312" t="s">
        <v>500</v>
      </c>
      <c r="C76" s="437"/>
      <c r="D76" s="437"/>
      <c r="E76" s="437"/>
      <c r="F76" s="437"/>
      <c r="G76" s="437"/>
      <c r="H76" s="437"/>
      <c r="I76" s="437"/>
      <c r="J76" s="437"/>
      <c r="K76" s="437"/>
      <c r="L76" s="437"/>
      <c r="M76" s="437"/>
      <c r="N76" s="437"/>
      <c r="O76" s="437"/>
      <c r="S76" s="297"/>
      <c r="V76" s="165"/>
      <c r="AE76" s="181"/>
    </row>
    <row r="77" spans="1:31" ht="14.45" hidden="1" customHeight="1">
      <c r="A77" s="2285"/>
      <c r="B77" s="437" t="s">
        <v>633</v>
      </c>
      <c r="C77" s="437"/>
      <c r="D77" s="437"/>
      <c r="E77" s="437"/>
      <c r="F77" s="437"/>
      <c r="G77" s="437"/>
      <c r="H77" s="437"/>
      <c r="I77" s="437"/>
      <c r="J77" s="437"/>
      <c r="K77" s="437"/>
      <c r="L77" s="437"/>
      <c r="M77" s="437"/>
      <c r="N77" s="437"/>
      <c r="O77" s="437"/>
      <c r="V77" s="165"/>
      <c r="AE77" s="165"/>
    </row>
    <row r="78" spans="1:31" ht="57" hidden="1">
      <c r="A78" s="369"/>
      <c r="B78" s="437" t="s">
        <v>501</v>
      </c>
      <c r="C78" s="180"/>
      <c r="D78" s="180"/>
      <c r="E78" s="180"/>
      <c r="F78" s="180"/>
      <c r="G78" s="180"/>
      <c r="H78" s="180"/>
      <c r="I78" s="180"/>
      <c r="J78" s="180"/>
      <c r="K78" s="180"/>
      <c r="L78" s="180"/>
      <c r="M78" s="180"/>
      <c r="N78" s="180"/>
      <c r="O78" s="180"/>
      <c r="V78" s="165"/>
      <c r="AE78" s="165"/>
    </row>
    <row r="79" spans="1:31" hidden="1">
      <c r="A79" s="164"/>
      <c r="S79" s="297"/>
      <c r="V79" s="165"/>
      <c r="AE79" s="165"/>
    </row>
    <row r="81" spans="2:31">
      <c r="AE81" s="172"/>
    </row>
    <row r="84" spans="2:31" ht="28.9" customHeight="1">
      <c r="C84" s="326">
        <f>F68</f>
        <v>7558.63</v>
      </c>
      <c r="F84" s="297"/>
      <c r="G84" s="297"/>
    </row>
    <row r="85" spans="2:31" ht="30">
      <c r="B85" s="325" t="s">
        <v>662</v>
      </c>
      <c r="C85" s="319"/>
      <c r="O85" s="297"/>
      <c r="P85" s="297"/>
    </row>
    <row r="86" spans="2:31" ht="23.45" customHeight="1">
      <c r="B86" s="319" t="s">
        <v>661</v>
      </c>
      <c r="C86" s="321">
        <v>245.31</v>
      </c>
      <c r="F86" s="297"/>
      <c r="G86" s="297"/>
      <c r="H86" s="2284" t="s">
        <v>657</v>
      </c>
      <c r="I86" s="2284"/>
      <c r="J86" s="2284"/>
      <c r="K86" s="2284"/>
      <c r="L86" s="2284"/>
      <c r="M86" s="2284"/>
      <c r="N86" s="2284"/>
    </row>
    <row r="87" spans="2:31" ht="21.6" customHeight="1">
      <c r="B87" s="320" t="s">
        <v>659</v>
      </c>
      <c r="C87" s="321">
        <v>80.739999999999995</v>
      </c>
      <c r="H87" s="300" t="s">
        <v>732</v>
      </c>
      <c r="I87" s="300"/>
      <c r="J87" s="300"/>
      <c r="K87" s="300"/>
      <c r="L87" s="300"/>
      <c r="M87" s="300"/>
      <c r="N87" s="300"/>
    </row>
    <row r="88" spans="2:31" ht="14.45" customHeight="1">
      <c r="B88" s="320" t="s">
        <v>660</v>
      </c>
      <c r="C88" s="324">
        <f>SUM(C86:C87)</f>
        <v>326.05</v>
      </c>
      <c r="F88" s="290" t="s">
        <v>649</v>
      </c>
      <c r="G88" s="290"/>
      <c r="H88" s="290" t="s">
        <v>656</v>
      </c>
      <c r="I88" s="290" t="s">
        <v>658</v>
      </c>
      <c r="J88" s="290"/>
      <c r="K88" s="315" t="s">
        <v>656</v>
      </c>
      <c r="L88" s="315" t="s">
        <v>658</v>
      </c>
      <c r="M88" s="315"/>
      <c r="N88" s="315" t="s">
        <v>656</v>
      </c>
      <c r="O88" s="315" t="s">
        <v>658</v>
      </c>
      <c r="P88" s="315"/>
    </row>
    <row r="89" spans="2:31" ht="13.9" customHeight="1">
      <c r="B89" s="323" t="s">
        <v>455</v>
      </c>
      <c r="F89" s="316" t="s">
        <v>654</v>
      </c>
      <c r="G89" s="316"/>
      <c r="H89" s="317">
        <f>E68</f>
        <v>7149.52</v>
      </c>
      <c r="I89" s="315"/>
      <c r="J89" s="315"/>
      <c r="K89" s="317">
        <f>H93</f>
        <v>6705.71</v>
      </c>
      <c r="L89" s="315"/>
      <c r="M89" s="315"/>
      <c r="N89" s="317">
        <f>K93</f>
        <v>6830.56</v>
      </c>
      <c r="O89" s="315"/>
      <c r="P89" s="315"/>
    </row>
    <row r="90" spans="2:31" ht="47.25">
      <c r="C90" s="322">
        <f>C84+C88</f>
        <v>7884.68</v>
      </c>
      <c r="F90" s="316" t="s">
        <v>652</v>
      </c>
      <c r="G90" s="316"/>
      <c r="H90" s="315">
        <v>0</v>
      </c>
      <c r="I90" s="315"/>
      <c r="J90" s="315"/>
      <c r="K90" s="317">
        <f>H68</f>
        <v>124.85</v>
      </c>
      <c r="L90" s="315"/>
      <c r="M90" s="315"/>
      <c r="N90" s="317">
        <f>K68</f>
        <v>0</v>
      </c>
      <c r="O90" s="315"/>
      <c r="P90" s="315"/>
    </row>
    <row r="91" spans="2:31" ht="60">
      <c r="B91" s="318" t="s">
        <v>663</v>
      </c>
      <c r="F91" s="316" t="s">
        <v>643</v>
      </c>
      <c r="G91" s="316"/>
      <c r="H91" s="315">
        <f>AH32+AH33+AH34</f>
        <v>448.54</v>
      </c>
      <c r="I91" s="315"/>
      <c r="J91" s="315"/>
      <c r="K91" s="315">
        <v>0</v>
      </c>
      <c r="L91" s="315"/>
      <c r="M91" s="315"/>
      <c r="N91" s="315">
        <v>0</v>
      </c>
      <c r="O91" s="315"/>
      <c r="P91" s="315"/>
    </row>
    <row r="92" spans="2:31" ht="31.5">
      <c r="F92" s="316" t="s">
        <v>651</v>
      </c>
      <c r="G92" s="316"/>
      <c r="H92" s="315">
        <v>4.7300000000000004</v>
      </c>
      <c r="I92" s="315"/>
      <c r="J92" s="315"/>
      <c r="K92" s="315">
        <v>0</v>
      </c>
      <c r="L92" s="315"/>
      <c r="M92" s="315"/>
      <c r="N92" s="315">
        <v>0</v>
      </c>
      <c r="O92" s="315"/>
      <c r="P92" s="315"/>
    </row>
    <row r="93" spans="2:31" ht="47.25">
      <c r="F93" s="316" t="s">
        <v>653</v>
      </c>
      <c r="G93" s="316"/>
      <c r="H93" s="317">
        <f>H89+H90-H91+H92</f>
        <v>6705.71</v>
      </c>
      <c r="I93" s="315"/>
      <c r="J93" s="315"/>
      <c r="K93" s="317">
        <f>K89+K90-K91+K92</f>
        <v>6830.56</v>
      </c>
      <c r="L93" s="315"/>
      <c r="M93" s="315"/>
      <c r="N93" s="317">
        <f>N89+N90-N91+N92</f>
        <v>6830.56</v>
      </c>
      <c r="O93" s="315"/>
      <c r="P93" s="315"/>
      <c r="S93" s="297"/>
    </row>
    <row r="96" spans="2:31">
      <c r="S96" s="297"/>
    </row>
    <row r="98" spans="6:13" ht="21.6" customHeight="1">
      <c r="F98" s="2277" t="s">
        <v>668</v>
      </c>
      <c r="G98" s="2277"/>
      <c r="H98" s="2277"/>
      <c r="I98" s="2277"/>
      <c r="J98" s="2277"/>
      <c r="K98" s="2277"/>
      <c r="L98" s="2277"/>
      <c r="M98" s="427"/>
    </row>
    <row r="99" spans="6:13" ht="19.899999999999999" customHeight="1"/>
    <row r="100" spans="6:13" ht="19.899999999999999" customHeight="1"/>
    <row r="101" spans="6:13" ht="60">
      <c r="F101" s="315"/>
      <c r="G101" s="315"/>
      <c r="H101" s="327" t="s">
        <v>666</v>
      </c>
      <c r="I101" s="327" t="s">
        <v>665</v>
      </c>
      <c r="J101" s="327"/>
      <c r="K101" s="327" t="s">
        <v>667</v>
      </c>
      <c r="L101" s="327" t="s">
        <v>664</v>
      </c>
      <c r="M101" s="435"/>
    </row>
    <row r="102" spans="6:13">
      <c r="F102" s="290" t="s">
        <v>376</v>
      </c>
      <c r="G102" s="290"/>
      <c r="H102" s="328">
        <v>7884.68</v>
      </c>
      <c r="I102" s="328">
        <f>F68</f>
        <v>7558.63</v>
      </c>
      <c r="J102" s="328"/>
      <c r="K102" s="328">
        <f>7771.63/2</f>
        <v>3885.8150000000001</v>
      </c>
      <c r="L102" s="328">
        <f>I102/H102*K102</f>
        <v>3725.1274412468229</v>
      </c>
      <c r="M102" s="436"/>
    </row>
    <row r="112" spans="6:13" ht="17.45" customHeight="1"/>
    <row r="116" ht="21.6" customHeight="1"/>
    <row r="117" ht="22.15" customHeight="1"/>
    <row r="118" ht="19.899999999999999" customHeight="1"/>
  </sheetData>
  <mergeCells count="26">
    <mergeCell ref="F98:L98"/>
    <mergeCell ref="C10:P10"/>
    <mergeCell ref="E14:G14"/>
    <mergeCell ref="E12:G12"/>
    <mergeCell ref="H14:J14"/>
    <mergeCell ref="K14:M14"/>
    <mergeCell ref="N14:P14"/>
    <mergeCell ref="AG29:AK29"/>
    <mergeCell ref="H86:N86"/>
    <mergeCell ref="A76:A77"/>
    <mergeCell ref="S10:T10"/>
    <mergeCell ref="E11:P11"/>
    <mergeCell ref="A10:A11"/>
    <mergeCell ref="B10:B11"/>
    <mergeCell ref="Q14:S14"/>
    <mergeCell ref="T14:V14"/>
    <mergeCell ref="W14:Y14"/>
    <mergeCell ref="Z14:AB14"/>
    <mergeCell ref="AC14:AE14"/>
    <mergeCell ref="AG15:AK15"/>
    <mergeCell ref="N3:P3"/>
    <mergeCell ref="A5:P5"/>
    <mergeCell ref="A7:B7"/>
    <mergeCell ref="C7:P7"/>
    <mergeCell ref="A8:B8"/>
    <mergeCell ref="C8:P8"/>
  </mergeCells>
  <pageMargins left="0.7" right="0.7" top="0.75" bottom="0.75" header="0.3" footer="0.3"/>
  <pageSetup paperSize="9" scale="38" fitToHeight="2" orientation="landscape" horizontalDpi="4294967293" r:id="rId1"/>
</worksheet>
</file>

<file path=xl/worksheets/sheet44.xml><?xml version="1.0" encoding="utf-8"?>
<worksheet xmlns="http://schemas.openxmlformats.org/spreadsheetml/2006/main" xmlns:r="http://schemas.openxmlformats.org/officeDocument/2006/relationships">
  <sheetPr>
    <pageSetUpPr fitToPage="1"/>
  </sheetPr>
  <dimension ref="A1:O92"/>
  <sheetViews>
    <sheetView topLeftCell="A37" zoomScale="134" zoomScaleNormal="134" workbookViewId="0">
      <selection activeCell="C39" sqref="C39"/>
    </sheetView>
  </sheetViews>
  <sheetFormatPr defaultColWidth="9.33203125" defaultRowHeight="15"/>
  <cols>
    <col min="1" max="1" width="6.5" style="158" customWidth="1"/>
    <col min="2" max="2" width="18.83203125" style="158" customWidth="1"/>
    <col min="3" max="3" width="18" style="158" customWidth="1"/>
    <col min="4" max="4" width="11.6640625" style="273" customWidth="1"/>
    <col min="5" max="5" width="10.1640625" style="158" customWidth="1"/>
    <col min="6" max="6" width="8.5" style="158" customWidth="1"/>
    <col min="7" max="7" width="10.5" style="158" customWidth="1"/>
    <col min="8" max="8" width="11.5" style="158" customWidth="1"/>
    <col min="9" max="9" width="12.83203125" style="158" customWidth="1"/>
    <col min="10" max="10" width="13.5" style="158" customWidth="1"/>
    <col min="11" max="16384" width="9.33203125" style="158"/>
  </cols>
  <sheetData>
    <row r="1" spans="1:15" ht="15.75" thickBot="1"/>
    <row r="2" spans="1:15">
      <c r="A2" s="162"/>
      <c r="B2" s="163"/>
      <c r="C2" s="163"/>
      <c r="D2" s="279"/>
      <c r="E2" s="163"/>
      <c r="F2" s="163"/>
      <c r="G2" s="163"/>
      <c r="H2" s="163"/>
      <c r="I2" s="163"/>
      <c r="J2" s="182" t="s">
        <v>372</v>
      </c>
    </row>
    <row r="3" spans="1:15" ht="15.75">
      <c r="A3" s="164"/>
      <c r="J3" s="184" t="s">
        <v>503</v>
      </c>
    </row>
    <row r="4" spans="1:15">
      <c r="A4" s="164"/>
      <c r="J4" s="165"/>
    </row>
    <row r="5" spans="1:15" ht="18">
      <c r="A5" s="2297" t="s">
        <v>502</v>
      </c>
      <c r="B5" s="2298"/>
      <c r="C5" s="2298"/>
      <c r="D5" s="2298"/>
      <c r="E5" s="2298"/>
      <c r="F5" s="2298"/>
      <c r="G5" s="2298"/>
      <c r="H5" s="2298"/>
      <c r="I5" s="2298"/>
      <c r="J5" s="2299"/>
    </row>
    <row r="6" spans="1:15">
      <c r="A6" s="173"/>
      <c r="B6" s="167"/>
      <c r="C6" s="167"/>
      <c r="D6" s="167"/>
      <c r="E6" s="167"/>
      <c r="F6" s="167"/>
      <c r="G6" s="167"/>
      <c r="H6" s="167"/>
      <c r="I6" s="167"/>
      <c r="J6" s="174"/>
    </row>
    <row r="7" spans="1:15" ht="19.899999999999999" customHeight="1">
      <c r="A7" s="2300" t="s">
        <v>445</v>
      </c>
      <c r="B7" s="2301"/>
      <c r="C7" s="2238" t="s">
        <v>417</v>
      </c>
      <c r="D7" s="2238"/>
      <c r="E7" s="2238"/>
      <c r="F7" s="2238"/>
      <c r="G7" s="2238"/>
      <c r="H7" s="195"/>
      <c r="I7" s="195"/>
      <c r="J7" s="374"/>
    </row>
    <row r="8" spans="1:15" ht="16.899999999999999" customHeight="1">
      <c r="A8" s="2300" t="s">
        <v>446</v>
      </c>
      <c r="B8" s="2301"/>
      <c r="C8" s="2238" t="s">
        <v>415</v>
      </c>
      <c r="D8" s="2238"/>
      <c r="E8" s="2238"/>
      <c r="F8" s="2238"/>
      <c r="G8" s="2238"/>
      <c r="H8" s="195"/>
      <c r="I8" s="195"/>
      <c r="J8" s="374"/>
    </row>
    <row r="9" spans="1:15" ht="19.5" customHeight="1">
      <c r="A9" s="175"/>
      <c r="B9" s="160"/>
      <c r="C9" s="160"/>
      <c r="D9" s="265"/>
      <c r="E9" s="265"/>
      <c r="F9" s="265"/>
      <c r="G9" s="265"/>
      <c r="H9" s="265"/>
      <c r="I9" s="265"/>
      <c r="J9" s="426" t="s">
        <v>449</v>
      </c>
    </row>
    <row r="10" spans="1:15" ht="31.15" customHeight="1">
      <c r="A10" s="2240" t="s">
        <v>375</v>
      </c>
      <c r="B10" s="2288" t="s">
        <v>447</v>
      </c>
      <c r="C10" s="2302" t="s">
        <v>632</v>
      </c>
      <c r="D10" s="2302" t="s">
        <v>693</v>
      </c>
      <c r="E10" s="2302" t="s">
        <v>694</v>
      </c>
      <c r="F10" s="2274" t="s">
        <v>630</v>
      </c>
      <c r="G10" s="2302" t="s">
        <v>711</v>
      </c>
      <c r="H10" s="2274" t="s">
        <v>631</v>
      </c>
      <c r="I10" s="2302" t="s">
        <v>712</v>
      </c>
      <c r="J10" s="2303" t="s">
        <v>629</v>
      </c>
      <c r="N10" s="2296"/>
      <c r="O10" s="2296"/>
    </row>
    <row r="11" spans="1:15" ht="90.6" customHeight="1">
      <c r="A11" s="2240"/>
      <c r="B11" s="2288"/>
      <c r="C11" s="2242"/>
      <c r="D11" s="2242"/>
      <c r="E11" s="2242"/>
      <c r="F11" s="2275"/>
      <c r="G11" s="2242"/>
      <c r="H11" s="2275"/>
      <c r="I11" s="2242"/>
      <c r="J11" s="2304"/>
    </row>
    <row r="12" spans="1:15">
      <c r="A12" s="185">
        <v>-1</v>
      </c>
      <c r="B12" s="262">
        <v>-2</v>
      </c>
      <c r="C12" s="185">
        <v>-3</v>
      </c>
      <c r="D12" s="262">
        <v>-4</v>
      </c>
      <c r="E12" s="185">
        <v>-5</v>
      </c>
      <c r="F12" s="262">
        <v>-6</v>
      </c>
      <c r="G12" s="185">
        <v>-7</v>
      </c>
      <c r="H12" s="262">
        <v>-8</v>
      </c>
      <c r="I12" s="185">
        <v>-9</v>
      </c>
      <c r="J12" s="262">
        <v>-10</v>
      </c>
    </row>
    <row r="13" spans="1:15">
      <c r="A13" s="176">
        <v>1</v>
      </c>
      <c r="B13" s="187" t="s">
        <v>450</v>
      </c>
      <c r="C13" s="187"/>
      <c r="D13" s="280"/>
      <c r="E13" s="187"/>
      <c r="F13" s="286"/>
      <c r="G13" s="286"/>
      <c r="H13" s="286"/>
      <c r="I13" s="286"/>
      <c r="J13" s="188"/>
    </row>
    <row r="14" spans="1:15" ht="14.45" customHeight="1">
      <c r="A14" s="266">
        <v>1.1000000000000001</v>
      </c>
      <c r="B14" s="296" t="s">
        <v>451</v>
      </c>
      <c r="C14" s="296">
        <v>2985.56</v>
      </c>
      <c r="D14" s="355"/>
      <c r="E14" s="263"/>
      <c r="F14" s="287"/>
      <c r="G14" s="287"/>
      <c r="H14" s="287"/>
      <c r="I14" s="287"/>
      <c r="J14" s="264"/>
    </row>
    <row r="15" spans="1:15">
      <c r="A15" s="266">
        <v>1.2</v>
      </c>
      <c r="B15" s="296" t="s">
        <v>452</v>
      </c>
      <c r="C15" s="296">
        <v>388.03</v>
      </c>
      <c r="D15" s="355"/>
      <c r="E15" s="355"/>
      <c r="F15" s="288"/>
      <c r="G15" s="288"/>
      <c r="H15" s="288"/>
      <c r="I15" s="288"/>
      <c r="J15" s="264"/>
    </row>
    <row r="16" spans="1:15">
      <c r="A16" s="266">
        <v>1.3</v>
      </c>
      <c r="B16" s="296" t="s">
        <v>453</v>
      </c>
      <c r="C16" s="296">
        <v>75.7</v>
      </c>
      <c r="D16" s="355"/>
      <c r="E16" s="355"/>
      <c r="F16" s="288"/>
      <c r="G16" s="288"/>
      <c r="H16" s="288"/>
      <c r="I16" s="288"/>
      <c r="J16" s="356"/>
    </row>
    <row r="17" spans="1:10">
      <c r="A17" s="266">
        <v>1.4</v>
      </c>
      <c r="B17" s="296" t="s">
        <v>454</v>
      </c>
      <c r="C17" s="296">
        <v>610</v>
      </c>
      <c r="D17" s="355"/>
      <c r="E17" s="355"/>
      <c r="F17" s="288"/>
      <c r="G17" s="288"/>
      <c r="H17" s="288"/>
      <c r="I17" s="288"/>
      <c r="J17" s="264"/>
    </row>
    <row r="18" spans="1:10">
      <c r="A18" s="266">
        <v>1.5</v>
      </c>
      <c r="B18" s="296" t="s">
        <v>455</v>
      </c>
      <c r="C18" s="296">
        <f>SUM(C14:C17)</f>
        <v>4059.29</v>
      </c>
      <c r="D18" s="355"/>
      <c r="E18" s="355"/>
      <c r="F18" s="288"/>
      <c r="G18" s="288"/>
      <c r="H18" s="288"/>
      <c r="I18" s="288"/>
      <c r="J18" s="264"/>
    </row>
    <row r="19" spans="1:10">
      <c r="A19" s="266">
        <v>1.6</v>
      </c>
      <c r="B19" s="296" t="s">
        <v>456</v>
      </c>
      <c r="C19" s="296">
        <v>775</v>
      </c>
      <c r="D19" s="355"/>
      <c r="E19" s="355"/>
      <c r="F19" s="288"/>
      <c r="G19" s="288"/>
      <c r="H19" s="288"/>
      <c r="I19" s="288"/>
      <c r="J19" s="264"/>
    </row>
    <row r="20" spans="1:10" ht="24">
      <c r="A20" s="266">
        <v>1.7</v>
      </c>
      <c r="B20" s="296" t="s">
        <v>457</v>
      </c>
      <c r="C20" s="296">
        <v>100.21</v>
      </c>
      <c r="D20" s="355"/>
      <c r="E20" s="355"/>
      <c r="F20" s="288"/>
      <c r="G20" s="288"/>
      <c r="H20" s="288"/>
      <c r="I20" s="288"/>
      <c r="J20" s="264"/>
    </row>
    <row r="21" spans="1:10">
      <c r="A21" s="176">
        <v>1.8</v>
      </c>
      <c r="B21" s="263" t="s">
        <v>458</v>
      </c>
      <c r="C21" s="263">
        <f>C18+C19+C20</f>
        <v>4934.5</v>
      </c>
      <c r="D21" s="354">
        <v>4749.95</v>
      </c>
      <c r="E21" s="354">
        <v>4781.54</v>
      </c>
      <c r="F21" s="353">
        <f>G21-E21</f>
        <v>-9.3999999999996362</v>
      </c>
      <c r="G21" s="353">
        <v>4772.1400000000003</v>
      </c>
      <c r="H21" s="353">
        <f>I21-G21</f>
        <v>0</v>
      </c>
      <c r="I21" s="353">
        <v>4772.1400000000003</v>
      </c>
      <c r="J21" s="177">
        <f>C21-E21-F21-H21</f>
        <v>162.35999999999967</v>
      </c>
    </row>
    <row r="22" spans="1:10">
      <c r="A22" s="176">
        <v>2</v>
      </c>
      <c r="B22" s="189" t="s">
        <v>459</v>
      </c>
      <c r="C22" s="190"/>
      <c r="D22" s="281"/>
      <c r="E22" s="190"/>
      <c r="F22" s="190"/>
      <c r="G22" s="190"/>
      <c r="H22" s="190"/>
      <c r="I22" s="190"/>
      <c r="J22" s="191"/>
    </row>
    <row r="23" spans="1:10" ht="22.9" customHeight="1">
      <c r="A23" s="266">
        <v>2.1</v>
      </c>
      <c r="B23" s="296" t="s">
        <v>460</v>
      </c>
      <c r="C23" s="296">
        <v>490</v>
      </c>
      <c r="D23" s="355"/>
      <c r="E23" s="355"/>
      <c r="F23" s="288"/>
      <c r="G23" s="288"/>
      <c r="H23" s="288"/>
      <c r="I23" s="288"/>
      <c r="J23" s="264"/>
    </row>
    <row r="24" spans="1:10">
      <c r="A24" s="266">
        <v>2.2000000000000002</v>
      </c>
      <c r="B24" s="296" t="s">
        <v>461</v>
      </c>
      <c r="C24" s="296">
        <v>340</v>
      </c>
      <c r="D24" s="355"/>
      <c r="E24" s="355"/>
      <c r="F24" s="288"/>
      <c r="G24" s="288"/>
      <c r="H24" s="288"/>
      <c r="I24" s="288"/>
      <c r="J24" s="264"/>
    </row>
    <row r="25" spans="1:10">
      <c r="A25" s="266">
        <v>2.2999999999999998</v>
      </c>
      <c r="B25" s="296" t="s">
        <v>462</v>
      </c>
      <c r="C25" s="296">
        <v>140</v>
      </c>
      <c r="D25" s="355"/>
      <c r="E25" s="355"/>
      <c r="F25" s="288"/>
      <c r="G25" s="288"/>
      <c r="H25" s="288"/>
      <c r="I25" s="288"/>
      <c r="J25" s="264"/>
    </row>
    <row r="26" spans="1:10">
      <c r="A26" s="266">
        <v>2.4</v>
      </c>
      <c r="B26" s="296" t="s">
        <v>463</v>
      </c>
      <c r="C26" s="296">
        <v>3</v>
      </c>
      <c r="D26" s="355"/>
      <c r="E26" s="355"/>
      <c r="F26" s="288"/>
      <c r="G26" s="288"/>
      <c r="H26" s="288"/>
      <c r="I26" s="288"/>
      <c r="J26" s="264"/>
    </row>
    <row r="27" spans="1:10">
      <c r="A27" s="266">
        <v>2.5</v>
      </c>
      <c r="B27" s="296" t="s">
        <v>455</v>
      </c>
      <c r="C27" s="296">
        <v>973</v>
      </c>
      <c r="D27" s="355"/>
      <c r="E27" s="355"/>
      <c r="F27" s="288"/>
      <c r="G27" s="288"/>
      <c r="H27" s="288"/>
      <c r="I27" s="288"/>
      <c r="J27" s="264"/>
    </row>
    <row r="28" spans="1:10">
      <c r="A28" s="266">
        <v>2.6</v>
      </c>
      <c r="B28" s="296" t="s">
        <v>464</v>
      </c>
      <c r="C28" s="296">
        <f>65-18</f>
        <v>47</v>
      </c>
      <c r="D28" s="355"/>
      <c r="E28" s="355"/>
      <c r="F28" s="288"/>
      <c r="G28" s="288"/>
      <c r="H28" s="288"/>
      <c r="I28" s="288"/>
      <c r="J28" s="264"/>
    </row>
    <row r="29" spans="1:10">
      <c r="A29" s="176">
        <v>2.7</v>
      </c>
      <c r="B29" s="263" t="s">
        <v>465</v>
      </c>
      <c r="C29" s="263">
        <f>C27+C28</f>
        <v>1020</v>
      </c>
      <c r="D29" s="354">
        <v>837.26</v>
      </c>
      <c r="E29" s="354">
        <v>864.96</v>
      </c>
      <c r="F29" s="353">
        <f>G29-E29</f>
        <v>12.139999999999986</v>
      </c>
      <c r="G29" s="353">
        <v>877.1</v>
      </c>
      <c r="H29" s="353">
        <f>I29-G29</f>
        <v>100.31999999999994</v>
      </c>
      <c r="I29" s="353">
        <v>977.42</v>
      </c>
      <c r="J29" s="183">
        <f>C29-E29-F29-H29</f>
        <v>42.580000000000041</v>
      </c>
    </row>
    <row r="30" spans="1:10">
      <c r="A30" s="176">
        <v>3</v>
      </c>
      <c r="B30" s="192" t="s">
        <v>466</v>
      </c>
      <c r="C30" s="193"/>
      <c r="D30" s="282"/>
      <c r="E30" s="193"/>
      <c r="F30" s="193"/>
      <c r="G30" s="193"/>
      <c r="H30" s="193"/>
      <c r="I30" s="193"/>
      <c r="J30" s="194"/>
    </row>
    <row r="31" spans="1:10" ht="68.25" customHeight="1">
      <c r="A31" s="266">
        <v>3.1</v>
      </c>
      <c r="B31" s="296" t="s">
        <v>467</v>
      </c>
      <c r="C31" s="263">
        <v>50</v>
      </c>
      <c r="D31" s="355">
        <v>39.700000000000003</v>
      </c>
      <c r="E31" s="355">
        <v>40.36</v>
      </c>
      <c r="F31" s="288">
        <f>G31-E31</f>
        <v>-0.64999999999999858</v>
      </c>
      <c r="G31" s="288">
        <v>39.71</v>
      </c>
      <c r="H31" s="288">
        <f>I31-G31</f>
        <v>0.15999999999999659</v>
      </c>
      <c r="I31" s="288">
        <v>39.869999999999997</v>
      </c>
      <c r="J31" s="264">
        <f t="shared" ref="J31:J50" si="0">C31-E31-F31-H31</f>
        <v>10.130000000000003</v>
      </c>
    </row>
    <row r="32" spans="1:10" ht="24">
      <c r="A32" s="266">
        <v>3.2</v>
      </c>
      <c r="B32" s="296" t="s">
        <v>468</v>
      </c>
      <c r="C32" s="296">
        <v>0.3</v>
      </c>
      <c r="D32" s="355">
        <v>0.02</v>
      </c>
      <c r="E32" s="355">
        <v>0.02</v>
      </c>
      <c r="F32" s="288">
        <f t="shared" ref="F32:F51" si="1">G32-E32</f>
        <v>0</v>
      </c>
      <c r="G32" s="288">
        <v>0.02</v>
      </c>
      <c r="H32" s="288">
        <f t="shared" ref="H32:H51" si="2">I32-G32</f>
        <v>0</v>
      </c>
      <c r="I32" s="288">
        <v>0.02</v>
      </c>
      <c r="J32" s="264">
        <f t="shared" si="0"/>
        <v>0.27999999999999997</v>
      </c>
    </row>
    <row r="33" spans="1:12" ht="24">
      <c r="A33" s="266">
        <v>3.3</v>
      </c>
      <c r="B33" s="296" t="s">
        <v>469</v>
      </c>
      <c r="C33" s="296">
        <v>24</v>
      </c>
      <c r="D33" s="355">
        <v>21.35</v>
      </c>
      <c r="E33" s="355">
        <v>21.35</v>
      </c>
      <c r="F33" s="288">
        <f t="shared" si="1"/>
        <v>2.0299999999999976</v>
      </c>
      <c r="G33" s="288">
        <v>23.38</v>
      </c>
      <c r="H33" s="288">
        <f t="shared" si="2"/>
        <v>1.0000000000001563E-2</v>
      </c>
      <c r="I33" s="288">
        <v>23.39</v>
      </c>
      <c r="J33" s="264">
        <f t="shared" si="0"/>
        <v>0.60999999999999943</v>
      </c>
    </row>
    <row r="34" spans="1:12">
      <c r="A34" s="266">
        <v>3.4</v>
      </c>
      <c r="B34" s="296" t="s">
        <v>471</v>
      </c>
      <c r="C34" s="263">
        <v>20</v>
      </c>
      <c r="D34" s="355">
        <v>11.44</v>
      </c>
      <c r="E34" s="355">
        <v>11.44</v>
      </c>
      <c r="F34" s="288">
        <f t="shared" si="1"/>
        <v>0.3100000000000005</v>
      </c>
      <c r="G34" s="288">
        <v>11.75</v>
      </c>
      <c r="H34" s="288">
        <f t="shared" si="2"/>
        <v>0.58999999999999986</v>
      </c>
      <c r="I34" s="288">
        <v>12.34</v>
      </c>
      <c r="J34" s="264">
        <f t="shared" si="0"/>
        <v>7.66</v>
      </c>
    </row>
    <row r="35" spans="1:12" ht="24">
      <c r="A35" s="266">
        <v>3.5</v>
      </c>
      <c r="B35" s="296" t="s">
        <v>706</v>
      </c>
      <c r="C35" s="296">
        <v>52</v>
      </c>
      <c r="D35" s="355">
        <v>42.61</v>
      </c>
      <c r="E35" s="355">
        <v>42.61</v>
      </c>
      <c r="F35" s="288">
        <f t="shared" si="1"/>
        <v>3.1099999999999994</v>
      </c>
      <c r="G35" s="288">
        <v>45.72</v>
      </c>
      <c r="H35" s="288">
        <f t="shared" si="2"/>
        <v>-1.0899999999999963</v>
      </c>
      <c r="I35" s="288">
        <v>44.63</v>
      </c>
      <c r="J35" s="264">
        <f t="shared" si="0"/>
        <v>7.3699999999999974</v>
      </c>
    </row>
    <row r="36" spans="1:12" ht="75">
      <c r="A36" s="266">
        <v>3.6</v>
      </c>
      <c r="B36" s="296" t="s">
        <v>473</v>
      </c>
      <c r="C36" s="296">
        <v>19</v>
      </c>
      <c r="D36" s="355">
        <v>16.579999999999998</v>
      </c>
      <c r="E36" s="355">
        <v>16.940000000000001</v>
      </c>
      <c r="F36" s="288">
        <f t="shared" si="1"/>
        <v>0.25</v>
      </c>
      <c r="G36" s="288">
        <v>17.190000000000001</v>
      </c>
      <c r="H36" s="288">
        <f t="shared" si="2"/>
        <v>0</v>
      </c>
      <c r="I36" s="288">
        <v>17.190000000000001</v>
      </c>
      <c r="J36" s="264">
        <f t="shared" si="0"/>
        <v>1.8099999999999987</v>
      </c>
      <c r="L36" s="158" t="s">
        <v>734</v>
      </c>
    </row>
    <row r="37" spans="1:12">
      <c r="A37" s="266">
        <v>3.7</v>
      </c>
      <c r="B37" s="296" t="s">
        <v>474</v>
      </c>
      <c r="C37" s="296">
        <v>58</v>
      </c>
      <c r="D37" s="355">
        <v>42.93</v>
      </c>
      <c r="E37" s="355">
        <v>43.17</v>
      </c>
      <c r="F37" s="288">
        <f t="shared" si="1"/>
        <v>2.8999999999999986</v>
      </c>
      <c r="G37" s="288">
        <v>46.07</v>
      </c>
      <c r="H37" s="288">
        <f t="shared" si="2"/>
        <v>5.4099999999999966</v>
      </c>
      <c r="I37" s="288">
        <v>51.48</v>
      </c>
      <c r="J37" s="264">
        <f t="shared" si="0"/>
        <v>6.5200000000000031</v>
      </c>
    </row>
    <row r="38" spans="1:12" ht="24">
      <c r="A38" s="266">
        <v>3.8</v>
      </c>
      <c r="B38" s="296" t="s">
        <v>475</v>
      </c>
      <c r="C38" s="296">
        <v>86</v>
      </c>
      <c r="D38" s="283">
        <v>79.86</v>
      </c>
      <c r="E38" s="283">
        <v>83.48</v>
      </c>
      <c r="F38" s="288">
        <f t="shared" si="1"/>
        <v>0.47999999999998977</v>
      </c>
      <c r="G38" s="288">
        <v>83.96</v>
      </c>
      <c r="H38" s="288">
        <f t="shared" si="2"/>
        <v>0.22000000000001307</v>
      </c>
      <c r="I38" s="288">
        <v>84.18</v>
      </c>
      <c r="J38" s="264">
        <f t="shared" si="0"/>
        <v>1.8199999999999932</v>
      </c>
    </row>
    <row r="39" spans="1:12" ht="24">
      <c r="A39" s="266">
        <v>3.9</v>
      </c>
      <c r="B39" s="296" t="s">
        <v>476</v>
      </c>
      <c r="C39" s="296">
        <f>378-C38</f>
        <v>292</v>
      </c>
      <c r="D39" s="371">
        <v>240.78</v>
      </c>
      <c r="E39" s="355">
        <v>245.31</v>
      </c>
      <c r="F39" s="288">
        <f t="shared" si="1"/>
        <v>5.0699999999999932</v>
      </c>
      <c r="G39" s="288">
        <v>250.38</v>
      </c>
      <c r="H39" s="288">
        <f t="shared" si="2"/>
        <v>24.149999999999977</v>
      </c>
      <c r="I39" s="288">
        <v>274.52999999999997</v>
      </c>
      <c r="J39" s="264">
        <f t="shared" si="0"/>
        <v>17.470000000000027</v>
      </c>
    </row>
    <row r="40" spans="1:12" ht="24">
      <c r="A40" s="359" t="s">
        <v>705</v>
      </c>
      <c r="B40" s="296" t="s">
        <v>477</v>
      </c>
      <c r="C40" s="296">
        <v>5.4</v>
      </c>
      <c r="D40" s="283">
        <v>0.23</v>
      </c>
      <c r="E40" s="355">
        <v>0.23</v>
      </c>
      <c r="F40" s="288">
        <f t="shared" si="1"/>
        <v>0.37</v>
      </c>
      <c r="G40" s="288">
        <v>0.6</v>
      </c>
      <c r="H40" s="288">
        <f t="shared" si="2"/>
        <v>0.85</v>
      </c>
      <c r="I40" s="288">
        <v>1.45</v>
      </c>
      <c r="J40" s="264">
        <f t="shared" si="0"/>
        <v>3.9499999999999997</v>
      </c>
    </row>
    <row r="41" spans="1:12">
      <c r="A41" s="266">
        <v>3.11</v>
      </c>
      <c r="B41" s="296" t="s">
        <v>478</v>
      </c>
      <c r="C41" s="296">
        <v>184</v>
      </c>
      <c r="D41" s="283">
        <v>78.53</v>
      </c>
      <c r="E41" s="355">
        <v>80.739999999999995</v>
      </c>
      <c r="F41" s="288">
        <f t="shared" si="1"/>
        <v>72.36</v>
      </c>
      <c r="G41" s="288">
        <v>153.1</v>
      </c>
      <c r="H41" s="288">
        <f t="shared" si="2"/>
        <v>117.77000000000001</v>
      </c>
      <c r="I41" s="288">
        <v>270.87</v>
      </c>
      <c r="J41" s="264">
        <f t="shared" si="0"/>
        <v>-86.87</v>
      </c>
    </row>
    <row r="42" spans="1:12" ht="36">
      <c r="A42" s="266">
        <v>3.12</v>
      </c>
      <c r="B42" s="296" t="s">
        <v>626</v>
      </c>
      <c r="C42" s="296">
        <v>145</v>
      </c>
      <c r="D42" s="283">
        <v>50.2</v>
      </c>
      <c r="E42" s="355">
        <v>52.18</v>
      </c>
      <c r="F42" s="288">
        <f t="shared" si="1"/>
        <v>11.32</v>
      </c>
      <c r="G42" s="288">
        <v>63.5</v>
      </c>
      <c r="H42" s="288">
        <f t="shared" si="2"/>
        <v>26.799999999999997</v>
      </c>
      <c r="I42" s="288">
        <v>90.3</v>
      </c>
      <c r="J42" s="264">
        <f t="shared" si="0"/>
        <v>54.7</v>
      </c>
    </row>
    <row r="43" spans="1:12">
      <c r="A43" s="266">
        <v>3.13</v>
      </c>
      <c r="B43" s="296" t="s">
        <v>479</v>
      </c>
      <c r="C43" s="296">
        <v>4</v>
      </c>
      <c r="D43" s="283">
        <v>0.74</v>
      </c>
      <c r="E43" s="355">
        <v>0.79</v>
      </c>
      <c r="F43" s="288">
        <f t="shared" si="1"/>
        <v>-1.0000000000000009E-2</v>
      </c>
      <c r="G43" s="288">
        <v>0.78</v>
      </c>
      <c r="H43" s="288">
        <f t="shared" si="2"/>
        <v>8.9999999999999969E-2</v>
      </c>
      <c r="I43" s="288">
        <v>0.87</v>
      </c>
      <c r="J43" s="264">
        <f t="shared" si="0"/>
        <v>3.13</v>
      </c>
    </row>
    <row r="44" spans="1:12">
      <c r="A44" s="266">
        <v>3.14</v>
      </c>
      <c r="B44" s="296" t="s">
        <v>480</v>
      </c>
      <c r="C44" s="296">
        <v>22.1</v>
      </c>
      <c r="D44" s="283">
        <v>9.2899999999999991</v>
      </c>
      <c r="E44" s="355">
        <v>9.4499999999999993</v>
      </c>
      <c r="F44" s="288">
        <f t="shared" si="1"/>
        <v>0.60000000000000142</v>
      </c>
      <c r="G44" s="288">
        <v>10.050000000000001</v>
      </c>
      <c r="H44" s="288">
        <f t="shared" si="2"/>
        <v>0.67999999999999972</v>
      </c>
      <c r="I44" s="288">
        <v>10.73</v>
      </c>
      <c r="J44" s="264">
        <f t="shared" si="0"/>
        <v>11.370000000000001</v>
      </c>
    </row>
    <row r="45" spans="1:12" ht="24">
      <c r="A45" s="266">
        <v>3.15</v>
      </c>
      <c r="B45" s="296" t="s">
        <v>481</v>
      </c>
      <c r="C45" s="296">
        <v>2</v>
      </c>
      <c r="D45" s="283">
        <v>0.42</v>
      </c>
      <c r="E45" s="355">
        <v>0.42</v>
      </c>
      <c r="F45" s="288">
        <f t="shared" si="1"/>
        <v>3.0000000000000027E-2</v>
      </c>
      <c r="G45" s="288">
        <v>0.45</v>
      </c>
      <c r="H45" s="288">
        <f t="shared" si="2"/>
        <v>0</v>
      </c>
      <c r="I45" s="288">
        <v>0.45</v>
      </c>
      <c r="J45" s="264">
        <f t="shared" si="0"/>
        <v>1.55</v>
      </c>
    </row>
    <row r="46" spans="1:12" ht="36">
      <c r="A46" s="266">
        <v>3.16</v>
      </c>
      <c r="B46" s="296" t="s">
        <v>482</v>
      </c>
      <c r="C46" s="296">
        <v>49</v>
      </c>
      <c r="D46" s="283">
        <v>42</v>
      </c>
      <c r="E46" s="355">
        <v>42</v>
      </c>
      <c r="F46" s="288">
        <f t="shared" si="1"/>
        <v>6.0200000000000031</v>
      </c>
      <c r="G46" s="288">
        <v>48.02</v>
      </c>
      <c r="H46" s="288">
        <f t="shared" si="2"/>
        <v>0</v>
      </c>
      <c r="I46" s="288">
        <v>48.02</v>
      </c>
      <c r="J46" s="264">
        <f t="shared" si="0"/>
        <v>0.97999999999999687</v>
      </c>
    </row>
    <row r="47" spans="1:12" ht="24">
      <c r="A47" s="266">
        <v>3.17</v>
      </c>
      <c r="B47" s="296" t="s">
        <v>483</v>
      </c>
      <c r="C47" s="296">
        <v>30</v>
      </c>
      <c r="D47" s="283">
        <v>24.66</v>
      </c>
      <c r="E47" s="355">
        <v>24.97</v>
      </c>
      <c r="F47" s="288">
        <f t="shared" si="1"/>
        <v>-0.57000000000000028</v>
      </c>
      <c r="G47" s="372">
        <v>24.4</v>
      </c>
      <c r="H47" s="288">
        <f t="shared" si="2"/>
        <v>0</v>
      </c>
      <c r="I47" s="288">
        <v>24.4</v>
      </c>
      <c r="J47" s="264">
        <f t="shared" si="0"/>
        <v>5.6000000000000014</v>
      </c>
    </row>
    <row r="48" spans="1:12" ht="24">
      <c r="A48" s="266">
        <v>3.18</v>
      </c>
      <c r="B48" s="296" t="s">
        <v>484</v>
      </c>
      <c r="C48" s="296">
        <v>6</v>
      </c>
      <c r="D48" s="283">
        <v>2.37</v>
      </c>
      <c r="E48" s="355">
        <v>2.37</v>
      </c>
      <c r="F48" s="288">
        <f t="shared" si="1"/>
        <v>-0.18999999999999995</v>
      </c>
      <c r="G48" s="288">
        <v>2.1800000000000002</v>
      </c>
      <c r="H48" s="288">
        <f t="shared" si="2"/>
        <v>0.54</v>
      </c>
      <c r="I48" s="288">
        <v>2.72</v>
      </c>
      <c r="J48" s="264">
        <f t="shared" si="0"/>
        <v>3.28</v>
      </c>
    </row>
    <row r="49" spans="1:10">
      <c r="A49" s="266">
        <v>3.19</v>
      </c>
      <c r="B49" s="296" t="s">
        <v>485</v>
      </c>
      <c r="C49" s="296">
        <v>8</v>
      </c>
      <c r="D49" s="283">
        <v>3.25</v>
      </c>
      <c r="E49" s="355">
        <v>3.48</v>
      </c>
      <c r="F49" s="288">
        <f t="shared" si="1"/>
        <v>0.51000000000000023</v>
      </c>
      <c r="G49" s="288">
        <v>3.99</v>
      </c>
      <c r="H49" s="288">
        <f t="shared" si="2"/>
        <v>0.50999999999999979</v>
      </c>
      <c r="I49" s="288">
        <v>4.5</v>
      </c>
      <c r="J49" s="264">
        <f t="shared" si="0"/>
        <v>3.5</v>
      </c>
    </row>
    <row r="50" spans="1:10">
      <c r="A50" s="272">
        <v>3.2</v>
      </c>
      <c r="B50" s="296" t="s">
        <v>486</v>
      </c>
      <c r="C50" s="296"/>
      <c r="D50" s="283">
        <v>0</v>
      </c>
      <c r="E50" s="355">
        <v>0</v>
      </c>
      <c r="F50" s="288">
        <f t="shared" si="1"/>
        <v>0</v>
      </c>
      <c r="G50" s="288">
        <v>0</v>
      </c>
      <c r="H50" s="288">
        <f t="shared" si="2"/>
        <v>0</v>
      </c>
      <c r="I50" s="288">
        <v>0</v>
      </c>
      <c r="J50" s="264">
        <f t="shared" si="0"/>
        <v>0</v>
      </c>
    </row>
    <row r="51" spans="1:10">
      <c r="A51" s="295">
        <v>3.21</v>
      </c>
      <c r="B51" s="289" t="s">
        <v>627</v>
      </c>
      <c r="C51" s="289">
        <v>28.69</v>
      </c>
      <c r="D51" s="283">
        <v>0</v>
      </c>
      <c r="E51" s="355">
        <v>0</v>
      </c>
      <c r="F51" s="288">
        <f t="shared" si="1"/>
        <v>0</v>
      </c>
      <c r="G51" s="288"/>
      <c r="H51" s="288">
        <f t="shared" si="2"/>
        <v>28.7</v>
      </c>
      <c r="I51" s="288">
        <v>28.7</v>
      </c>
      <c r="J51" s="264">
        <v>0</v>
      </c>
    </row>
    <row r="52" spans="1:10" ht="36">
      <c r="A52" s="176">
        <v>3.22</v>
      </c>
      <c r="B52" s="170" t="s">
        <v>487</v>
      </c>
      <c r="C52" s="170">
        <f>SUM(C31:C51)</f>
        <v>1085.49</v>
      </c>
      <c r="D52" s="354">
        <f>SUM(D31:D51)</f>
        <v>706.95999999999992</v>
      </c>
      <c r="E52" s="354">
        <f t="shared" ref="E52:J52" si="3">SUM(E31:E51)</f>
        <v>721.31</v>
      </c>
      <c r="F52" s="354">
        <f t="shared" si="3"/>
        <v>103.94000000000001</v>
      </c>
      <c r="G52" s="373">
        <f t="shared" si="3"/>
        <v>825.25</v>
      </c>
      <c r="H52" s="354">
        <f t="shared" si="3"/>
        <v>205.39</v>
      </c>
      <c r="I52" s="354">
        <f t="shared" si="3"/>
        <v>1030.6400000000001</v>
      </c>
      <c r="J52" s="183">
        <f t="shared" si="3"/>
        <v>54.860000000000014</v>
      </c>
    </row>
    <row r="53" spans="1:10">
      <c r="A53" s="176">
        <v>4</v>
      </c>
      <c r="B53" s="187" t="s">
        <v>488</v>
      </c>
      <c r="C53" s="187"/>
      <c r="D53" s="280"/>
      <c r="E53" s="187"/>
      <c r="F53" s="286"/>
      <c r="G53" s="286"/>
      <c r="H53" s="286"/>
      <c r="I53" s="286"/>
      <c r="J53" s="188"/>
    </row>
    <row r="54" spans="1:10">
      <c r="A54" s="266">
        <v>4.0999999999999996</v>
      </c>
      <c r="B54" s="296" t="s">
        <v>489</v>
      </c>
      <c r="C54" s="296">
        <v>5</v>
      </c>
      <c r="D54" s="355">
        <v>11.32</v>
      </c>
      <c r="E54" s="355">
        <v>11.32</v>
      </c>
      <c r="F54" s="291">
        <f t="shared" ref="F54:F63" si="4">G54-E54</f>
        <v>2.4699999999999989</v>
      </c>
      <c r="G54" s="291">
        <v>13.79</v>
      </c>
      <c r="H54" s="291">
        <f t="shared" ref="H54:H63" si="5">I54-G54</f>
        <v>2.41</v>
      </c>
      <c r="I54" s="291">
        <v>16.2</v>
      </c>
      <c r="J54" s="292">
        <f t="shared" ref="J54:J63" si="6">C54-E54-F54-H54</f>
        <v>-11.2</v>
      </c>
    </row>
    <row r="55" spans="1:10" ht="24">
      <c r="A55" s="266">
        <v>4.2</v>
      </c>
      <c r="B55" s="296" t="s">
        <v>490</v>
      </c>
      <c r="C55" s="296">
        <v>94</v>
      </c>
      <c r="D55" s="355">
        <v>69.8</v>
      </c>
      <c r="E55" s="355">
        <v>69.8</v>
      </c>
      <c r="F55" s="291">
        <f t="shared" si="4"/>
        <v>20.090000000000003</v>
      </c>
      <c r="G55" s="291">
        <v>89.89</v>
      </c>
      <c r="H55" s="291">
        <f t="shared" si="5"/>
        <v>-1.1599999999999966</v>
      </c>
      <c r="I55" s="291">
        <v>88.73</v>
      </c>
      <c r="J55" s="292">
        <f t="shared" si="6"/>
        <v>5.269999999999996</v>
      </c>
    </row>
    <row r="56" spans="1:10" ht="24">
      <c r="A56" s="266">
        <v>4.3</v>
      </c>
      <c r="B56" s="296" t="s">
        <v>491</v>
      </c>
      <c r="C56" s="296">
        <v>120</v>
      </c>
      <c r="D56" s="355">
        <v>107.77</v>
      </c>
      <c r="E56" s="355">
        <v>109.73</v>
      </c>
      <c r="F56" s="291">
        <f t="shared" si="4"/>
        <v>5.2000000000000028</v>
      </c>
      <c r="G56" s="291">
        <v>114.93</v>
      </c>
      <c r="H56" s="291">
        <f t="shared" si="5"/>
        <v>4.5099999999999909</v>
      </c>
      <c r="I56" s="291">
        <v>119.44</v>
      </c>
      <c r="J56" s="292">
        <f t="shared" si="6"/>
        <v>0.56000000000000227</v>
      </c>
    </row>
    <row r="57" spans="1:10">
      <c r="A57" s="266">
        <v>4.4000000000000004</v>
      </c>
      <c r="B57" s="296" t="s">
        <v>492</v>
      </c>
      <c r="C57" s="296">
        <v>41</v>
      </c>
      <c r="D57" s="355">
        <v>38.69</v>
      </c>
      <c r="E57" s="355">
        <v>40.78</v>
      </c>
      <c r="F57" s="291">
        <f t="shared" si="4"/>
        <v>-0.57999999999999829</v>
      </c>
      <c r="G57" s="291">
        <v>40.200000000000003</v>
      </c>
      <c r="H57" s="291">
        <f t="shared" si="5"/>
        <v>0</v>
      </c>
      <c r="I57" s="291">
        <v>40.200000000000003</v>
      </c>
      <c r="J57" s="292">
        <f t="shared" si="6"/>
        <v>0.79999999999999716</v>
      </c>
    </row>
    <row r="58" spans="1:10">
      <c r="A58" s="266">
        <v>4.5</v>
      </c>
      <c r="B58" s="296" t="s">
        <v>493</v>
      </c>
      <c r="C58" s="296">
        <v>2</v>
      </c>
      <c r="D58" s="283">
        <v>0</v>
      </c>
      <c r="E58" s="355">
        <v>0</v>
      </c>
      <c r="F58" s="291">
        <f t="shared" si="4"/>
        <v>0</v>
      </c>
      <c r="G58" s="291">
        <v>0</v>
      </c>
      <c r="H58" s="291">
        <f t="shared" si="5"/>
        <v>0</v>
      </c>
      <c r="I58" s="291">
        <v>0</v>
      </c>
      <c r="J58" s="292">
        <f t="shared" si="6"/>
        <v>2</v>
      </c>
    </row>
    <row r="59" spans="1:10" ht="24">
      <c r="A59" s="266">
        <v>4.5999999999999996</v>
      </c>
      <c r="B59" s="296" t="s">
        <v>494</v>
      </c>
      <c r="C59" s="296"/>
      <c r="D59" s="283">
        <v>0</v>
      </c>
      <c r="E59" s="355">
        <v>0</v>
      </c>
      <c r="F59" s="291">
        <f t="shared" si="4"/>
        <v>2.96</v>
      </c>
      <c r="G59" s="291">
        <v>2.96</v>
      </c>
      <c r="H59" s="291">
        <f t="shared" si="5"/>
        <v>0</v>
      </c>
      <c r="I59" s="291">
        <v>2.96</v>
      </c>
      <c r="J59" s="292">
        <f t="shared" si="6"/>
        <v>-2.96</v>
      </c>
    </row>
    <row r="60" spans="1:10">
      <c r="A60" s="266">
        <v>4.7</v>
      </c>
      <c r="B60" s="296" t="s">
        <v>495</v>
      </c>
      <c r="C60" s="296"/>
      <c r="D60" s="283">
        <v>0</v>
      </c>
      <c r="E60" s="355">
        <v>0</v>
      </c>
      <c r="F60" s="291">
        <f t="shared" si="4"/>
        <v>0</v>
      </c>
      <c r="G60" s="291">
        <v>0</v>
      </c>
      <c r="H60" s="291">
        <f t="shared" si="5"/>
        <v>0</v>
      </c>
      <c r="I60" s="291">
        <v>0</v>
      </c>
      <c r="J60" s="292">
        <f t="shared" si="6"/>
        <v>0</v>
      </c>
    </row>
    <row r="61" spans="1:10" ht="24">
      <c r="A61" s="266">
        <v>4.8</v>
      </c>
      <c r="B61" s="296" t="s">
        <v>496</v>
      </c>
      <c r="C61" s="296">
        <v>1</v>
      </c>
      <c r="D61" s="283">
        <v>0</v>
      </c>
      <c r="E61" s="355">
        <v>0</v>
      </c>
      <c r="F61" s="291">
        <f t="shared" si="4"/>
        <v>0.5</v>
      </c>
      <c r="G61" s="291">
        <v>0.5</v>
      </c>
      <c r="H61" s="291">
        <f t="shared" si="5"/>
        <v>0</v>
      </c>
      <c r="I61" s="291">
        <v>0.5</v>
      </c>
      <c r="J61" s="292">
        <f t="shared" si="6"/>
        <v>0.5</v>
      </c>
    </row>
    <row r="62" spans="1:10" ht="19.5" customHeight="1">
      <c r="A62" s="266">
        <v>4.9000000000000004</v>
      </c>
      <c r="B62" s="296" t="s">
        <v>497</v>
      </c>
      <c r="C62" s="296">
        <v>1264.3399999999999</v>
      </c>
      <c r="D62" s="283">
        <v>1231.73</v>
      </c>
      <c r="E62" s="355">
        <v>1264.3399999999999</v>
      </c>
      <c r="F62" s="291">
        <f t="shared" si="4"/>
        <v>16.6400000000001</v>
      </c>
      <c r="G62" s="291">
        <v>1280.98</v>
      </c>
      <c r="H62" s="291">
        <f t="shared" si="5"/>
        <v>21.549999999999955</v>
      </c>
      <c r="I62" s="291">
        <v>1302.53</v>
      </c>
      <c r="J62" s="292">
        <f t="shared" si="6"/>
        <v>-38.190000000000055</v>
      </c>
    </row>
    <row r="63" spans="1:10" ht="19.5" customHeight="1">
      <c r="A63" s="278">
        <v>4.0999999999999996</v>
      </c>
      <c r="B63" s="276" t="s">
        <v>628</v>
      </c>
      <c r="C63" s="276">
        <v>17</v>
      </c>
      <c r="D63" s="283">
        <v>18.149999999999999</v>
      </c>
      <c r="E63" s="277">
        <v>20.9</v>
      </c>
      <c r="F63" s="291">
        <f t="shared" si="4"/>
        <v>-4</v>
      </c>
      <c r="G63" s="291">
        <v>16.899999999999999</v>
      </c>
      <c r="H63" s="291">
        <f t="shared" si="5"/>
        <v>0.10000000000000142</v>
      </c>
      <c r="I63" s="291">
        <v>17</v>
      </c>
      <c r="J63" s="292">
        <f t="shared" si="6"/>
        <v>0</v>
      </c>
    </row>
    <row r="64" spans="1:10">
      <c r="A64" s="375" t="s">
        <v>730</v>
      </c>
      <c r="B64" s="274" t="s">
        <v>498</v>
      </c>
      <c r="C64" s="274">
        <f t="shared" ref="C64:J64" si="7">SUM(C54:C63)</f>
        <v>1544.34</v>
      </c>
      <c r="D64" s="354">
        <f t="shared" si="7"/>
        <v>1477.46</v>
      </c>
      <c r="E64" s="354">
        <f t="shared" si="7"/>
        <v>1516.8700000000001</v>
      </c>
      <c r="F64" s="354">
        <f t="shared" si="7"/>
        <v>43.280000000000108</v>
      </c>
      <c r="G64" s="354">
        <f t="shared" si="7"/>
        <v>1560.15</v>
      </c>
      <c r="H64" s="354">
        <f t="shared" si="7"/>
        <v>27.40999999999995</v>
      </c>
      <c r="I64" s="354">
        <f t="shared" si="7"/>
        <v>1587.56</v>
      </c>
      <c r="J64" s="293">
        <f t="shared" si="7"/>
        <v>-43.220000000000056</v>
      </c>
    </row>
    <row r="65" spans="1:12" ht="24">
      <c r="A65" s="176">
        <v>5</v>
      </c>
      <c r="B65" s="263" t="s">
        <v>499</v>
      </c>
      <c r="C65" s="263">
        <f t="shared" ref="C65:J65" si="8">C21+C29+C52+C64</f>
        <v>8584.33</v>
      </c>
      <c r="D65" s="354">
        <f t="shared" si="8"/>
        <v>7771.63</v>
      </c>
      <c r="E65" s="354">
        <f t="shared" si="8"/>
        <v>7884.6799999999994</v>
      </c>
      <c r="F65" s="354">
        <f t="shared" si="8"/>
        <v>149.96000000000046</v>
      </c>
      <c r="G65" s="354">
        <f t="shared" si="8"/>
        <v>8034.6400000000012</v>
      </c>
      <c r="H65" s="354">
        <f t="shared" si="8"/>
        <v>333.11999999999989</v>
      </c>
      <c r="I65" s="354">
        <f t="shared" si="8"/>
        <v>8367.76</v>
      </c>
      <c r="J65" s="183">
        <f t="shared" si="8"/>
        <v>216.57999999999967</v>
      </c>
    </row>
    <row r="66" spans="1:12">
      <c r="A66" s="178"/>
      <c r="B66" s="172"/>
      <c r="C66" s="172"/>
      <c r="D66" s="284"/>
      <c r="E66" s="172"/>
      <c r="F66" s="2260"/>
      <c r="G66" s="2260"/>
      <c r="H66" s="2260"/>
      <c r="I66" s="2260"/>
      <c r="J66" s="2294"/>
      <c r="L66" s="158">
        <f>G64+1.54</f>
        <v>1561.69</v>
      </c>
    </row>
    <row r="67" spans="1:12">
      <c r="A67" s="369"/>
      <c r="B67" s="161" t="s">
        <v>500</v>
      </c>
      <c r="C67" s="161"/>
      <c r="D67" s="284"/>
      <c r="E67" s="172"/>
      <c r="F67" s="2260"/>
      <c r="G67" s="2260"/>
      <c r="H67" s="2260"/>
      <c r="I67" s="2260"/>
      <c r="J67" s="2294"/>
    </row>
    <row r="68" spans="1:12" ht="31.9" customHeight="1">
      <c r="A68" s="2285"/>
      <c r="B68" s="2248" t="s">
        <v>838</v>
      </c>
      <c r="C68" s="2248"/>
      <c r="D68" s="2248"/>
      <c r="E68" s="2248"/>
      <c r="F68" s="2248"/>
      <c r="G68" s="2248"/>
      <c r="H68" s="2248"/>
      <c r="I68" s="2248"/>
      <c r="J68" s="2295"/>
    </row>
    <row r="69" spans="1:12">
      <c r="A69" s="2285"/>
      <c r="B69" s="2248" t="s">
        <v>501</v>
      </c>
      <c r="C69" s="2248"/>
      <c r="D69" s="2248"/>
      <c r="E69" s="2248"/>
      <c r="F69" s="2248"/>
      <c r="G69" s="2248"/>
      <c r="H69" s="2248"/>
      <c r="I69" s="2248"/>
      <c r="J69" s="2295"/>
    </row>
    <row r="70" spans="1:12">
      <c r="A70" s="369"/>
      <c r="D70" s="424"/>
      <c r="E70" s="180"/>
      <c r="F70" s="180"/>
      <c r="G70" s="180"/>
      <c r="H70" s="180"/>
      <c r="I70" s="180"/>
      <c r="J70" s="181"/>
    </row>
    <row r="71" spans="1:12">
      <c r="A71" s="164"/>
      <c r="J71" s="165"/>
    </row>
    <row r="72" spans="1:12">
      <c r="A72" s="164"/>
      <c r="F72" s="180"/>
      <c r="G72" s="180"/>
      <c r="H72" s="425" t="s">
        <v>700</v>
      </c>
      <c r="I72" s="180"/>
      <c r="J72" s="165"/>
    </row>
    <row r="73" spans="1:12" ht="15.75" thickBot="1">
      <c r="A73" s="166"/>
      <c r="B73" s="159"/>
      <c r="C73" s="159"/>
      <c r="D73" s="285"/>
      <c r="E73" s="159"/>
      <c r="F73" s="159"/>
      <c r="G73" s="159"/>
      <c r="H73" s="159"/>
      <c r="I73" s="159"/>
      <c r="J73" s="179"/>
    </row>
    <row r="77" spans="1:12">
      <c r="I77" s="158">
        <f>I65-I41-I39</f>
        <v>7822.3600000000006</v>
      </c>
    </row>
    <row r="79" spans="1:12" ht="14.45" customHeight="1"/>
    <row r="83" ht="14.45" customHeight="1"/>
    <row r="92" ht="14.45" customHeight="1"/>
  </sheetData>
  <mergeCells count="21">
    <mergeCell ref="N10:O10"/>
    <mergeCell ref="A5:J5"/>
    <mergeCell ref="A7:B7"/>
    <mergeCell ref="C7:G7"/>
    <mergeCell ref="A8:B8"/>
    <mergeCell ref="C8:G8"/>
    <mergeCell ref="A10:A11"/>
    <mergeCell ref="B10:B11"/>
    <mergeCell ref="C10:C11"/>
    <mergeCell ref="D10:D11"/>
    <mergeCell ref="E10:E11"/>
    <mergeCell ref="F10:F11"/>
    <mergeCell ref="G10:G11"/>
    <mergeCell ref="H10:H11"/>
    <mergeCell ref="I10:I11"/>
    <mergeCell ref="J10:J11"/>
    <mergeCell ref="F66:J66"/>
    <mergeCell ref="F67:J67"/>
    <mergeCell ref="A68:A69"/>
    <mergeCell ref="B68:J68"/>
    <mergeCell ref="B69:J69"/>
  </mergeCells>
  <pageMargins left="0.7" right="0.7" top="0.75" bottom="0.75" header="0.3" footer="0.3"/>
  <pageSetup paperSize="9" scale="80" fitToHeight="2" orientation="portrait" horizontalDpi="4294967293" r:id="rId1"/>
</worksheet>
</file>

<file path=xl/worksheets/sheet45.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Y80"/>
  <sheetViews>
    <sheetView topLeftCell="A28" zoomScale="115" zoomScaleNormal="115" workbookViewId="0">
      <selection activeCell="A53" sqref="A53:Y53"/>
    </sheetView>
  </sheetViews>
  <sheetFormatPr defaultColWidth="9.1640625" defaultRowHeight="15.75"/>
  <cols>
    <col min="1" max="1" width="6.6640625" style="603" customWidth="1"/>
    <col min="2" max="2" width="37.33203125" style="603" customWidth="1"/>
    <col min="3" max="3" width="15.6640625" style="603" hidden="1" customWidth="1"/>
    <col min="4" max="4" width="15.1640625" style="603" hidden="1" customWidth="1"/>
    <col min="5" max="5" width="14.83203125" style="603" hidden="1" customWidth="1"/>
    <col min="6" max="6" width="18.5" style="603" customWidth="1"/>
    <col min="7" max="7" width="18.83203125" style="603" customWidth="1"/>
    <col min="8" max="8" width="9.1640625" style="603" hidden="1" customWidth="1"/>
    <col min="9" max="9" width="25.83203125" style="603" hidden="1" customWidth="1"/>
    <col min="10" max="11" width="9.1640625" style="603" hidden="1" customWidth="1"/>
    <col min="12" max="12" width="12.5" style="603" hidden="1" customWidth="1"/>
    <col min="13" max="13" width="9.1640625" style="603" hidden="1" customWidth="1"/>
    <col min="14" max="14" width="7" style="603" hidden="1" customWidth="1"/>
    <col min="15" max="15" width="38.5" style="603" hidden="1" customWidth="1"/>
    <col min="16" max="16" width="14.6640625" style="603" hidden="1" customWidth="1"/>
    <col min="17" max="17" width="16" style="603" hidden="1" customWidth="1"/>
    <col min="18" max="18" width="12.6640625" style="603" hidden="1" customWidth="1"/>
    <col min="19" max="19" width="23.1640625" style="603" customWidth="1"/>
    <col min="20" max="20" width="26.33203125" style="603" customWidth="1"/>
    <col min="21" max="21" width="14" style="603" hidden="1" customWidth="1"/>
    <col min="22" max="23" width="14.5" style="603" hidden="1" customWidth="1"/>
    <col min="24" max="24" width="20.83203125" style="603" customWidth="1"/>
    <col min="25" max="25" width="21.5" style="603" customWidth="1"/>
    <col min="26" max="16384" width="9.1640625" style="603"/>
  </cols>
  <sheetData>
    <row r="1" spans="1:25">
      <c r="A1" s="647"/>
      <c r="B1" s="634"/>
      <c r="C1" s="634"/>
      <c r="D1" s="634"/>
      <c r="E1" s="634"/>
      <c r="F1" s="634"/>
      <c r="G1" s="634"/>
      <c r="H1" s="634"/>
      <c r="I1" s="634"/>
      <c r="J1" s="634"/>
      <c r="K1" s="634"/>
      <c r="L1" s="634"/>
      <c r="M1" s="634"/>
      <c r="N1" s="634"/>
      <c r="O1" s="634"/>
      <c r="P1" s="634"/>
      <c r="Q1" s="634"/>
      <c r="R1" s="634"/>
      <c r="S1" s="634"/>
      <c r="T1" s="634"/>
      <c r="U1" s="634"/>
      <c r="V1" s="634"/>
      <c r="W1" s="635"/>
      <c r="X1" s="634"/>
      <c r="Y1" s="635"/>
    </row>
    <row r="2" spans="1:25" ht="20.25">
      <c r="A2" s="636"/>
      <c r="B2" s="896" t="s">
        <v>1412</v>
      </c>
      <c r="C2" s="1606"/>
      <c r="D2" s="1606"/>
      <c r="E2" s="1606"/>
      <c r="F2" s="1606"/>
      <c r="G2" s="1606"/>
      <c r="H2" s="1606"/>
      <c r="I2" s="1606"/>
      <c r="J2" s="1606"/>
      <c r="K2" s="1606"/>
      <c r="L2" s="1606"/>
      <c r="M2" s="1606"/>
      <c r="N2" s="1606"/>
      <c r="O2" s="1606"/>
      <c r="P2" s="1606"/>
      <c r="Q2" s="1606"/>
      <c r="R2" s="1606"/>
      <c r="S2" s="1606"/>
      <c r="T2" s="1606"/>
      <c r="U2" s="1606"/>
      <c r="V2" s="1606"/>
      <c r="W2" s="637"/>
      <c r="X2" s="1606"/>
      <c r="Y2" s="637"/>
    </row>
    <row r="3" spans="1:25">
      <c r="A3" s="636"/>
      <c r="B3" s="1606"/>
      <c r="C3" s="1606"/>
      <c r="D3" s="1606"/>
      <c r="E3" s="1606"/>
      <c r="F3" s="1606"/>
      <c r="G3" s="1606"/>
      <c r="H3" s="1606"/>
      <c r="I3" s="1606"/>
      <c r="J3" s="1606"/>
      <c r="K3" s="1606"/>
      <c r="L3" s="1606"/>
      <c r="M3" s="1606"/>
      <c r="N3" s="1606"/>
      <c r="O3" s="1606"/>
      <c r="P3" s="1606"/>
      <c r="Q3" s="1606"/>
      <c r="R3" s="1606"/>
      <c r="S3" s="1606"/>
      <c r="T3" s="1606"/>
      <c r="U3" s="1606"/>
      <c r="V3" s="1606"/>
      <c r="W3" s="637"/>
      <c r="X3" s="1606"/>
      <c r="Y3" s="637"/>
    </row>
    <row r="4" spans="1:25">
      <c r="A4" s="636"/>
      <c r="B4" s="1606" t="s">
        <v>895</v>
      </c>
      <c r="C4" s="1606"/>
      <c r="D4" s="1606" t="s">
        <v>841</v>
      </c>
      <c r="E4" s="1606"/>
      <c r="F4" s="1606" t="s">
        <v>841</v>
      </c>
      <c r="G4" s="1606"/>
      <c r="H4" s="1606"/>
      <c r="I4" s="1606"/>
      <c r="J4" s="1606"/>
      <c r="K4" s="1606"/>
      <c r="L4" s="1606"/>
      <c r="M4" s="1606"/>
      <c r="N4" s="1606"/>
      <c r="O4" s="1606"/>
      <c r="P4" s="1606"/>
      <c r="Q4" s="1606"/>
      <c r="R4" s="1606"/>
      <c r="S4" s="1606"/>
      <c r="T4" s="1606"/>
      <c r="U4" s="1606"/>
      <c r="V4" s="1606"/>
      <c r="W4" s="637"/>
      <c r="X4" s="1606"/>
      <c r="Y4" s="637"/>
    </row>
    <row r="5" spans="1:25">
      <c r="A5" s="636"/>
      <c r="B5" s="1606" t="s">
        <v>896</v>
      </c>
      <c r="C5" s="1606"/>
      <c r="D5" s="1606" t="s">
        <v>415</v>
      </c>
      <c r="E5" s="1606"/>
      <c r="F5" s="1606" t="s">
        <v>415</v>
      </c>
      <c r="G5" s="1606"/>
      <c r="H5" s="1606"/>
      <c r="I5" s="1606"/>
      <c r="J5" s="1606"/>
      <c r="K5" s="1606"/>
      <c r="L5" s="1606"/>
      <c r="M5" s="1606"/>
      <c r="N5" s="1606"/>
      <c r="O5" s="1606"/>
      <c r="P5" s="1606"/>
      <c r="Q5" s="1606"/>
      <c r="R5" s="1606"/>
      <c r="S5" s="1606"/>
      <c r="T5" s="1606"/>
      <c r="U5" s="1606"/>
      <c r="V5" s="1606"/>
      <c r="W5" s="637"/>
      <c r="X5" s="1606"/>
      <c r="Y5" s="637"/>
    </row>
    <row r="6" spans="1:25">
      <c r="A6" s="636"/>
      <c r="B6" s="1606"/>
      <c r="C6" s="1606"/>
      <c r="D6" s="1606"/>
      <c r="E6" s="1606"/>
      <c r="F6" s="1606"/>
      <c r="G6" s="1606"/>
      <c r="H6" s="1606"/>
      <c r="I6" s="1606"/>
      <c r="J6" s="1606"/>
      <c r="K6" s="1606"/>
      <c r="L6" s="1606"/>
      <c r="M6" s="1606"/>
      <c r="N6" s="1606"/>
      <c r="O6" s="1606"/>
      <c r="P6" s="1606"/>
      <c r="Q6" s="1606"/>
      <c r="R6" s="1606"/>
      <c r="S6" s="1606"/>
      <c r="T6" s="1606"/>
      <c r="U6" s="1606"/>
      <c r="V6" s="1606"/>
      <c r="W6" s="637" t="s">
        <v>1031</v>
      </c>
      <c r="X6" s="1606"/>
      <c r="Y6" s="637" t="s">
        <v>1415</v>
      </c>
    </row>
    <row r="7" spans="1:25">
      <c r="A7" s="636"/>
      <c r="B7" s="1606"/>
      <c r="C7" s="1606"/>
      <c r="D7" s="1606"/>
      <c r="E7" s="1606"/>
      <c r="F7" s="1606"/>
      <c r="G7" s="1606"/>
      <c r="H7" s="1606"/>
      <c r="I7" s="1606"/>
      <c r="J7" s="1606"/>
      <c r="K7" s="1606"/>
      <c r="L7" s="1606"/>
      <c r="M7" s="1606"/>
      <c r="N7" s="1606"/>
      <c r="O7" s="1606"/>
      <c r="P7" s="1606"/>
      <c r="Q7" s="1606"/>
      <c r="R7" s="1606"/>
      <c r="S7" s="1606"/>
      <c r="T7" s="1606"/>
      <c r="U7" s="1606"/>
      <c r="V7" s="1606"/>
      <c r="W7" s="637"/>
      <c r="X7" s="1606"/>
      <c r="Y7" s="637"/>
    </row>
    <row r="8" spans="1:25" ht="32.25" customHeight="1">
      <c r="A8" s="648" t="s">
        <v>1088</v>
      </c>
      <c r="B8" s="946" t="s">
        <v>649</v>
      </c>
      <c r="C8" s="1744" t="s">
        <v>1370</v>
      </c>
      <c r="D8" s="1744"/>
      <c r="E8" s="1744"/>
      <c r="F8" s="1744"/>
      <c r="G8" s="1744"/>
      <c r="H8" s="773"/>
      <c r="I8" s="773"/>
      <c r="J8" s="773"/>
      <c r="K8" s="773"/>
      <c r="L8" s="773"/>
      <c r="M8" s="773"/>
      <c r="N8" s="773" t="s">
        <v>1088</v>
      </c>
      <c r="O8" s="1602" t="s">
        <v>649</v>
      </c>
      <c r="P8" s="1744" t="s">
        <v>1371</v>
      </c>
      <c r="Q8" s="1744"/>
      <c r="R8" s="1744"/>
      <c r="S8" s="1744"/>
      <c r="T8" s="1744"/>
      <c r="U8" s="1745" t="s">
        <v>1352</v>
      </c>
      <c r="V8" s="1745"/>
      <c r="W8" s="1745"/>
      <c r="X8" s="1745"/>
      <c r="Y8" s="1746"/>
    </row>
    <row r="9" spans="1:25" hidden="1">
      <c r="A9" s="641"/>
      <c r="B9" s="948"/>
      <c r="C9" s="617" t="s">
        <v>1009</v>
      </c>
      <c r="D9" s="617" t="s">
        <v>1008</v>
      </c>
      <c r="E9" s="617" t="s">
        <v>1007</v>
      </c>
      <c r="F9" s="617" t="s">
        <v>1006</v>
      </c>
      <c r="G9" s="617" t="s">
        <v>1010</v>
      </c>
      <c r="H9" s="798"/>
      <c r="I9" s="798"/>
      <c r="J9" s="798"/>
      <c r="K9" s="798"/>
      <c r="L9" s="798"/>
      <c r="M9" s="798"/>
      <c r="N9" s="798"/>
      <c r="O9" s="617"/>
      <c r="P9" s="617" t="s">
        <v>1009</v>
      </c>
      <c r="Q9" s="617" t="s">
        <v>1008</v>
      </c>
      <c r="R9" s="617" t="s">
        <v>1007</v>
      </c>
      <c r="S9" s="617" t="s">
        <v>1006</v>
      </c>
      <c r="T9" s="617" t="s">
        <v>1010</v>
      </c>
      <c r="U9" s="617" t="s">
        <v>1009</v>
      </c>
      <c r="V9" s="617" t="s">
        <v>1008</v>
      </c>
      <c r="W9" s="617" t="s">
        <v>1007</v>
      </c>
      <c r="X9" s="798"/>
      <c r="Y9" s="969"/>
    </row>
    <row r="10" spans="1:25">
      <c r="A10" s="641"/>
      <c r="B10" s="804"/>
      <c r="C10" s="940" t="s">
        <v>864</v>
      </c>
      <c r="D10" s="940" t="s">
        <v>865</v>
      </c>
      <c r="E10" s="940" t="s">
        <v>866</v>
      </c>
      <c r="F10" s="940" t="s">
        <v>867</v>
      </c>
      <c r="G10" s="940" t="s">
        <v>868</v>
      </c>
      <c r="H10" s="798"/>
      <c r="I10" s="798"/>
      <c r="J10" s="798"/>
      <c r="K10" s="798"/>
      <c r="L10" s="798"/>
      <c r="M10" s="798"/>
      <c r="N10" s="798"/>
      <c r="O10" s="940"/>
      <c r="P10" s="940" t="s">
        <v>864</v>
      </c>
      <c r="Q10" s="940" t="s">
        <v>865</v>
      </c>
      <c r="R10" s="940" t="s">
        <v>866</v>
      </c>
      <c r="S10" s="940" t="s">
        <v>867</v>
      </c>
      <c r="T10" s="940" t="s">
        <v>868</v>
      </c>
      <c r="U10" s="940" t="s">
        <v>864</v>
      </c>
      <c r="V10" s="940" t="s">
        <v>865</v>
      </c>
      <c r="W10" s="940" t="s">
        <v>866</v>
      </c>
      <c r="X10" s="940" t="s">
        <v>867</v>
      </c>
      <c r="Y10" s="640" t="s">
        <v>868</v>
      </c>
    </row>
    <row r="11" spans="1:25">
      <c r="A11" s="648" t="s">
        <v>976</v>
      </c>
      <c r="B11" s="805" t="s">
        <v>756</v>
      </c>
      <c r="C11" s="618"/>
      <c r="D11" s="618"/>
      <c r="E11" s="618"/>
      <c r="F11" s="618"/>
      <c r="G11" s="618"/>
      <c r="H11" s="798"/>
      <c r="I11" s="798"/>
      <c r="J11" s="798"/>
      <c r="K11" s="798"/>
      <c r="L11" s="798"/>
      <c r="M11" s="798"/>
      <c r="N11" s="773" t="s">
        <v>976</v>
      </c>
      <c r="O11" s="691" t="s">
        <v>756</v>
      </c>
      <c r="P11" s="618"/>
      <c r="Q11" s="618"/>
      <c r="R11" s="618"/>
      <c r="S11" s="618"/>
      <c r="T11" s="618"/>
      <c r="U11" s="773"/>
      <c r="V11" s="691"/>
      <c r="W11" s="618"/>
      <c r="X11" s="798"/>
      <c r="Y11" s="969"/>
    </row>
    <row r="12" spans="1:25">
      <c r="A12" s="648">
        <v>1</v>
      </c>
      <c r="B12" s="949" t="s">
        <v>410</v>
      </c>
      <c r="C12" s="622">
        <f>'Form 1'!H15*100</f>
        <v>40522.225550351548</v>
      </c>
      <c r="D12" s="622">
        <f>'Form 1'!I15*100</f>
        <v>41126.511035283671</v>
      </c>
      <c r="E12" s="622">
        <f>'Form 1'!J15*100</f>
        <v>41278.879443056401</v>
      </c>
      <c r="F12" s="622">
        <f>'Form 1'!K15</f>
        <v>415.12532782132183</v>
      </c>
      <c r="G12" s="622">
        <f>'Form 1'!L15</f>
        <v>416.83675511138483</v>
      </c>
      <c r="H12" s="815"/>
      <c r="I12" s="815"/>
      <c r="J12" s="815"/>
      <c r="K12" s="815"/>
      <c r="L12" s="815"/>
      <c r="M12" s="815"/>
      <c r="N12" s="774">
        <v>1</v>
      </c>
      <c r="O12" s="1644" t="s">
        <v>410</v>
      </c>
      <c r="P12" s="622">
        <v>40036.333612000002</v>
      </c>
      <c r="Q12" s="622">
        <v>40035.559079999999</v>
      </c>
      <c r="R12" s="622">
        <v>40035.559079999999</v>
      </c>
      <c r="S12" s="622">
        <f>'Tariff claim'!L9</f>
        <v>400.36</v>
      </c>
      <c r="T12" s="622">
        <f>'Tariff claim'!M9</f>
        <v>400.36</v>
      </c>
      <c r="U12" s="774">
        <f>C12-P12</f>
        <v>485.89193835154583</v>
      </c>
      <c r="V12" s="622">
        <f t="shared" ref="V12:Y16" si="0">D12-Q12</f>
        <v>1090.9519552836719</v>
      </c>
      <c r="W12" s="622">
        <f t="shared" si="0"/>
        <v>1243.3203630564021</v>
      </c>
      <c r="X12" s="622">
        <f t="shared" si="0"/>
        <v>14.765327821321819</v>
      </c>
      <c r="Y12" s="899">
        <f t="shared" si="0"/>
        <v>16.476755111384819</v>
      </c>
    </row>
    <row r="13" spans="1:25">
      <c r="A13" s="648">
        <v>2</v>
      </c>
      <c r="B13" s="949" t="s">
        <v>383</v>
      </c>
      <c r="C13" s="622">
        <f>'Form 1'!H16*100</f>
        <v>41868.963457600985</v>
      </c>
      <c r="D13" s="622">
        <f>'Form 1'!I16*100</f>
        <v>41487.793302508369</v>
      </c>
      <c r="E13" s="622">
        <f>'Form 1'!J16*100</f>
        <v>37490.328950122414</v>
      </c>
      <c r="F13" s="622">
        <f>'Form 1'!K16</f>
        <v>335.92282123872343</v>
      </c>
      <c r="G13" s="622">
        <f>'Form 1'!L16</f>
        <v>295.8728546830128</v>
      </c>
      <c r="H13" s="815"/>
      <c r="I13" s="815"/>
      <c r="J13" s="815"/>
      <c r="K13" s="815"/>
      <c r="L13" s="815"/>
      <c r="M13" s="815"/>
      <c r="N13" s="774">
        <v>2</v>
      </c>
      <c r="O13" s="1644" t="s">
        <v>383</v>
      </c>
      <c r="P13" s="622">
        <v>39583.073230141992</v>
      </c>
      <c r="Q13" s="622">
        <v>35924.188093581055</v>
      </c>
      <c r="R13" s="622">
        <v>32265.338349259855</v>
      </c>
      <c r="S13" s="622">
        <f>'Tariff claim'!L10</f>
        <v>286.06</v>
      </c>
      <c r="T13" s="622">
        <f>'Tariff claim'!M10</f>
        <v>249.48</v>
      </c>
      <c r="U13" s="774">
        <f t="shared" ref="U13:U16" si="1">C13-P13</f>
        <v>2285.8902274589927</v>
      </c>
      <c r="V13" s="622">
        <f t="shared" si="0"/>
        <v>5563.6052089273144</v>
      </c>
      <c r="W13" s="622">
        <f t="shared" si="0"/>
        <v>5224.9906008625585</v>
      </c>
      <c r="X13" s="622">
        <f t="shared" si="0"/>
        <v>49.862821238723427</v>
      </c>
      <c r="Y13" s="899">
        <f t="shared" si="0"/>
        <v>46.392854683012814</v>
      </c>
    </row>
    <row r="14" spans="1:25">
      <c r="A14" s="648">
        <v>3</v>
      </c>
      <c r="B14" s="950" t="s">
        <v>1064</v>
      </c>
      <c r="C14" s="623">
        <f>'Form 1'!H17*100</f>
        <v>44192.037887244325</v>
      </c>
      <c r="D14" s="623">
        <f>'Form 1'!I17*100</f>
        <v>49447.080754449977</v>
      </c>
      <c r="E14" s="623">
        <f>'Form 1'!J17*100</f>
        <v>49624.281027140787</v>
      </c>
      <c r="F14" s="622">
        <f>'Form 1'!K17</f>
        <v>499.05172347779023</v>
      </c>
      <c r="G14" s="622">
        <f>'Form 1'!L17</f>
        <v>501.10915211794418</v>
      </c>
      <c r="H14" s="815"/>
      <c r="I14" s="815"/>
      <c r="J14" s="815"/>
      <c r="K14" s="815"/>
      <c r="L14" s="815"/>
      <c r="M14" s="815"/>
      <c r="N14" s="774">
        <v>3</v>
      </c>
      <c r="O14" s="1645" t="s">
        <v>1064</v>
      </c>
      <c r="P14" s="623">
        <v>43639.571065067241</v>
      </c>
      <c r="Q14" s="623">
        <v>43639.571065067241</v>
      </c>
      <c r="R14" s="623">
        <v>43639.571065067241</v>
      </c>
      <c r="S14" s="622">
        <f>'Tariff claim'!L11</f>
        <v>436.4</v>
      </c>
      <c r="T14" s="622">
        <f>'Tariff claim'!M11</f>
        <v>436.4</v>
      </c>
      <c r="U14" s="774">
        <f t="shared" si="1"/>
        <v>552.4668221770844</v>
      </c>
      <c r="V14" s="622">
        <f t="shared" si="0"/>
        <v>5807.5096893827358</v>
      </c>
      <c r="W14" s="622">
        <f t="shared" si="0"/>
        <v>5984.7099620735462</v>
      </c>
      <c r="X14" s="622">
        <f t="shared" si="0"/>
        <v>62.651723477790256</v>
      </c>
      <c r="Y14" s="899">
        <f t="shared" si="0"/>
        <v>64.7091521179442</v>
      </c>
    </row>
    <row r="15" spans="1:25">
      <c r="A15" s="648">
        <v>4</v>
      </c>
      <c r="B15" s="950" t="s">
        <v>1109</v>
      </c>
      <c r="C15" s="623">
        <f>'Form 1'!H18*100</f>
        <v>9017.7191658512747</v>
      </c>
      <c r="D15" s="623">
        <f>'Form 1'!I18*100</f>
        <v>7585.6559110034268</v>
      </c>
      <c r="E15" s="623">
        <f>'Form 1'!J18*100</f>
        <v>7883.6071440668338</v>
      </c>
      <c r="F15" s="622">
        <f>'Form 1'!K18</f>
        <v>91.898408933165754</v>
      </c>
      <c r="G15" s="622">
        <f>'Form 1'!L18</f>
        <v>94.571471303420807</v>
      </c>
      <c r="H15" s="815"/>
      <c r="I15" s="815"/>
      <c r="J15" s="815"/>
      <c r="K15" s="815"/>
      <c r="L15" s="815"/>
      <c r="M15" s="815"/>
      <c r="N15" s="774"/>
      <c r="O15" s="1645" t="s">
        <v>411</v>
      </c>
      <c r="P15" s="623">
        <v>8039.8990852511188</v>
      </c>
      <c r="Q15" s="623">
        <v>8004.1731864364265</v>
      </c>
      <c r="R15" s="623">
        <v>7983.9654974781934</v>
      </c>
      <c r="S15" s="622">
        <f>'Tariff claim'!L12</f>
        <v>79.650000000000006</v>
      </c>
      <c r="T15" s="622">
        <f>'Tariff claim'!M12</f>
        <v>79.63</v>
      </c>
      <c r="U15" s="774">
        <f>IF((C15-P15)&gt;0,(C15-P15)*1/3,(C15-P15)*2/3)</f>
        <v>325.94002686671865</v>
      </c>
      <c r="V15" s="622">
        <f t="shared" ref="V15:W15" si="2">IF((D15-Q15)&gt;0,(D15-Q15)*1/3,(D15-Q15)*2/3)</f>
        <v>-279.01151695533309</v>
      </c>
      <c r="W15" s="622">
        <f t="shared" si="2"/>
        <v>-66.905568940906349</v>
      </c>
      <c r="X15" s="622">
        <f t="shared" ref="X15" si="3">F15-S15</f>
        <v>12.248408933165749</v>
      </c>
      <c r="Y15" s="899">
        <f t="shared" ref="Y15" si="4">G15-T15</f>
        <v>14.941471303420812</v>
      </c>
    </row>
    <row r="16" spans="1:25">
      <c r="A16" s="648">
        <v>5</v>
      </c>
      <c r="B16" s="950" t="s">
        <v>1110</v>
      </c>
      <c r="C16" s="623">
        <f>'Form 1'!H19*100</f>
        <v>22765.389931199996</v>
      </c>
      <c r="D16" s="623">
        <f>'Form 1'!I19*100</f>
        <v>24995.072485999997</v>
      </c>
      <c r="E16" s="623">
        <f>'Form 1'!J19*100</f>
        <v>28176.497764699991</v>
      </c>
      <c r="F16" s="622">
        <f>'Form 1'!K19</f>
        <v>300.8</v>
      </c>
      <c r="G16" s="622">
        <f>'Form 1'!L19</f>
        <v>315.84000000000003</v>
      </c>
      <c r="H16" s="815"/>
      <c r="I16" s="815"/>
      <c r="J16" s="815"/>
      <c r="K16" s="815"/>
      <c r="L16" s="815"/>
      <c r="M16" s="815"/>
      <c r="N16" s="774"/>
      <c r="O16" s="1645" t="s">
        <v>1110</v>
      </c>
      <c r="P16" s="623">
        <v>20418.270276173916</v>
      </c>
      <c r="Q16" s="623">
        <v>21294.793914549813</v>
      </c>
      <c r="R16" s="623">
        <v>22209.020604860751</v>
      </c>
      <c r="S16" s="622">
        <f>'Tariff claim'!L13</f>
        <v>231.61</v>
      </c>
      <c r="T16" s="622">
        <f>'Tariff claim'!M13</f>
        <v>241.55</v>
      </c>
      <c r="U16" s="774">
        <f t="shared" si="1"/>
        <v>2347.1196550260793</v>
      </c>
      <c r="V16" s="622">
        <f t="shared" si="0"/>
        <v>3700.2785714501842</v>
      </c>
      <c r="W16" s="622">
        <f t="shared" si="0"/>
        <v>5967.4771598392399</v>
      </c>
      <c r="X16" s="622">
        <f t="shared" si="0"/>
        <v>69.19</v>
      </c>
      <c r="Y16" s="899">
        <f t="shared" si="0"/>
        <v>74.29000000000002</v>
      </c>
    </row>
    <row r="17" spans="1:25" ht="31.5">
      <c r="A17" s="641"/>
      <c r="B17" s="951" t="s">
        <v>1065</v>
      </c>
      <c r="C17" s="687">
        <f>SUM(C12:C16)</f>
        <v>158366.33599224812</v>
      </c>
      <c r="D17" s="687">
        <f>SUM(D12:D16)</f>
        <v>164642.11348924541</v>
      </c>
      <c r="E17" s="687">
        <f>SUM(E12:E16)</f>
        <v>164453.59432908642</v>
      </c>
      <c r="F17" s="687">
        <f>SUM(F12:F16)</f>
        <v>1642.798281471001</v>
      </c>
      <c r="G17" s="687">
        <f>SUM(G12:G16)</f>
        <v>1624.2302332157628</v>
      </c>
      <c r="H17" s="815"/>
      <c r="I17" s="815"/>
      <c r="J17" s="815"/>
      <c r="K17" s="815"/>
      <c r="L17" s="815"/>
      <c r="M17" s="815"/>
      <c r="N17" s="815"/>
      <c r="O17" s="814" t="s">
        <v>1065</v>
      </c>
      <c r="P17" s="687">
        <f t="shared" ref="P17:W17" si="5">SUM(P12:P16)</f>
        <v>151717.14726863426</v>
      </c>
      <c r="Q17" s="687">
        <f t="shared" si="5"/>
        <v>148898.28533963455</v>
      </c>
      <c r="R17" s="687">
        <f t="shared" si="5"/>
        <v>146133.45459666604</v>
      </c>
      <c r="S17" s="687">
        <f t="shared" si="5"/>
        <v>1434.0800000000004</v>
      </c>
      <c r="T17" s="687">
        <f t="shared" si="5"/>
        <v>1407.4199999999998</v>
      </c>
      <c r="U17" s="781">
        <f t="shared" si="5"/>
        <v>5997.3086698804209</v>
      </c>
      <c r="V17" s="687">
        <f t="shared" si="5"/>
        <v>15883.333908088573</v>
      </c>
      <c r="W17" s="687">
        <f t="shared" si="5"/>
        <v>18353.59251689084</v>
      </c>
      <c r="X17" s="687">
        <f t="shared" ref="X17:Y17" si="6">SUM(X12:X16)</f>
        <v>208.71828147100126</v>
      </c>
      <c r="Y17" s="900">
        <f t="shared" si="6"/>
        <v>216.81023321576265</v>
      </c>
    </row>
    <row r="18" spans="1:25">
      <c r="A18" s="641"/>
      <c r="B18" s="951"/>
      <c r="C18" s="624"/>
      <c r="D18" s="624"/>
      <c r="E18" s="624"/>
      <c r="F18" s="624"/>
      <c r="G18" s="624"/>
      <c r="H18" s="815"/>
      <c r="I18" s="815"/>
      <c r="J18" s="815"/>
      <c r="K18" s="815"/>
      <c r="L18" s="815"/>
      <c r="M18" s="815"/>
      <c r="N18" s="815"/>
      <c r="O18" s="815"/>
      <c r="P18" s="815"/>
      <c r="Q18" s="815"/>
      <c r="R18" s="815"/>
      <c r="S18" s="815"/>
      <c r="T18" s="815"/>
      <c r="U18" s="774"/>
      <c r="V18" s="774"/>
      <c r="W18" s="774"/>
      <c r="X18" s="774"/>
      <c r="Y18" s="775"/>
    </row>
    <row r="19" spans="1:25">
      <c r="A19" s="649" t="s">
        <v>977</v>
      </c>
      <c r="B19" s="951" t="s">
        <v>1049</v>
      </c>
      <c r="C19" s="623"/>
      <c r="D19" s="623"/>
      <c r="E19" s="623"/>
      <c r="F19" s="623"/>
      <c r="G19" s="623"/>
      <c r="H19" s="815"/>
      <c r="I19" s="815"/>
      <c r="J19" s="815"/>
      <c r="K19" s="815"/>
      <c r="L19" s="815"/>
      <c r="M19" s="815"/>
      <c r="N19" s="1646" t="s">
        <v>977</v>
      </c>
      <c r="O19" s="814" t="s">
        <v>1049</v>
      </c>
      <c r="P19" s="623"/>
      <c r="Q19" s="623"/>
      <c r="R19" s="623"/>
      <c r="S19" s="623"/>
      <c r="T19" s="623"/>
      <c r="U19" s="774"/>
      <c r="V19" s="687"/>
      <c r="W19" s="622"/>
      <c r="X19" s="622"/>
      <c r="Y19" s="899"/>
    </row>
    <row r="20" spans="1:25">
      <c r="A20" s="649"/>
      <c r="B20" s="950" t="s">
        <v>1019</v>
      </c>
      <c r="C20" s="623">
        <f>'FUEL COST'!F19*100</f>
        <v>248690.84772000002</v>
      </c>
      <c r="D20" s="623">
        <f>'FUEL COST'!G19*100</f>
        <v>178451.12383679999</v>
      </c>
      <c r="E20" s="623">
        <f>'FUEL COST'!H19*100</f>
        <v>240446.52449999994</v>
      </c>
      <c r="F20" s="623">
        <f>S20</f>
        <v>1974.8243970000001</v>
      </c>
      <c r="G20" s="623">
        <f>T20</f>
        <v>1980.2348748000004</v>
      </c>
      <c r="H20" s="815"/>
      <c r="I20" s="815"/>
      <c r="J20" s="815"/>
      <c r="K20" s="815"/>
      <c r="L20" s="815"/>
      <c r="M20" s="815"/>
      <c r="N20" s="1646">
        <v>1</v>
      </c>
      <c r="O20" s="1645" t="s">
        <v>1019</v>
      </c>
      <c r="P20" s="623">
        <f>'Energy Charges'!D25*100</f>
        <v>247910.43710999997</v>
      </c>
      <c r="Q20" s="623">
        <f>'Energy Charges'!E25*100</f>
        <v>179485.42324079998</v>
      </c>
      <c r="R20" s="623">
        <f>'Energy Charges'!F25*100</f>
        <v>241327.28099999996</v>
      </c>
      <c r="S20" s="623">
        <f>'Energy Charges'!G25*100*2.345/'FUEL COST'!I18/100</f>
        <v>1974.8243970000001</v>
      </c>
      <c r="T20" s="623">
        <f>'Energy Charges'!H25*100*2.345/'FUEL COST'!J18/100</f>
        <v>1980.2348748000004</v>
      </c>
      <c r="U20" s="774">
        <f>IF(P20&gt;C20,(C20-P20)*2/3,(C20-P20)*1/3)</f>
        <v>260.13687000001664</v>
      </c>
      <c r="V20" s="622">
        <f t="shared" ref="V20:Y20" si="7">IF(Q20&gt;D20,(D20-Q20)*2/3,(D20-Q20)*1/3)</f>
        <v>-689.53293599999358</v>
      </c>
      <c r="W20" s="622">
        <f t="shared" si="7"/>
        <v>-587.17100000001176</v>
      </c>
      <c r="X20" s="622">
        <f t="shared" si="7"/>
        <v>0</v>
      </c>
      <c r="Y20" s="899">
        <f t="shared" si="7"/>
        <v>0</v>
      </c>
    </row>
    <row r="21" spans="1:25" hidden="1">
      <c r="A21" s="649">
        <v>2</v>
      </c>
      <c r="B21" s="950" t="s">
        <v>1020</v>
      </c>
      <c r="C21" s="623">
        <f>'FGD and Nox'!B23*100</f>
        <v>0</v>
      </c>
      <c r="D21" s="623">
        <f>'FGD and Nox'!C23*100</f>
        <v>0</v>
      </c>
      <c r="E21" s="623"/>
      <c r="F21" s="623"/>
      <c r="G21" s="623"/>
      <c r="H21" s="815"/>
      <c r="I21" s="815"/>
      <c r="J21" s="815"/>
      <c r="K21" s="815"/>
      <c r="L21" s="815"/>
      <c r="M21" s="815"/>
      <c r="N21" s="1646"/>
      <c r="O21" s="1645"/>
      <c r="P21" s="623"/>
      <c r="Q21" s="623"/>
      <c r="R21" s="623"/>
      <c r="S21" s="623"/>
      <c r="T21" s="623"/>
      <c r="U21" s="774"/>
      <c r="V21" s="622"/>
      <c r="W21" s="622"/>
      <c r="X21" s="622"/>
      <c r="Y21" s="899"/>
    </row>
    <row r="22" spans="1:25">
      <c r="A22" s="641"/>
      <c r="B22" s="951" t="s">
        <v>1066</v>
      </c>
      <c r="C22" s="624">
        <f>C20+C21</f>
        <v>248690.84772000002</v>
      </c>
      <c r="D22" s="624">
        <f>D20+D21</f>
        <v>178451.12383679999</v>
      </c>
      <c r="E22" s="624">
        <f>E20+E21</f>
        <v>240446.52449999994</v>
      </c>
      <c r="F22" s="624">
        <f>F20+F21</f>
        <v>1974.8243970000001</v>
      </c>
      <c r="G22" s="624">
        <f>G20+G21</f>
        <v>1980.2348748000004</v>
      </c>
      <c r="H22" s="815"/>
      <c r="I22" s="815"/>
      <c r="J22" s="815"/>
      <c r="K22" s="815"/>
      <c r="L22" s="815"/>
      <c r="M22" s="815"/>
      <c r="N22" s="815"/>
      <c r="O22" s="814" t="s">
        <v>1066</v>
      </c>
      <c r="P22" s="624">
        <f t="shared" ref="P22:W22" si="8">P20+P21</f>
        <v>247910.43710999997</v>
      </c>
      <c r="Q22" s="624">
        <f t="shared" si="8"/>
        <v>179485.42324079998</v>
      </c>
      <c r="R22" s="624">
        <f t="shared" si="8"/>
        <v>241327.28099999996</v>
      </c>
      <c r="S22" s="624">
        <f t="shared" si="8"/>
        <v>1974.8243970000001</v>
      </c>
      <c r="T22" s="624">
        <f t="shared" si="8"/>
        <v>1980.2348748000004</v>
      </c>
      <c r="U22" s="774">
        <f t="shared" si="8"/>
        <v>260.13687000001664</v>
      </c>
      <c r="V22" s="687">
        <f t="shared" si="8"/>
        <v>-689.53293599999358</v>
      </c>
      <c r="W22" s="687">
        <f t="shared" si="8"/>
        <v>-587.17100000001176</v>
      </c>
      <c r="X22" s="687">
        <f>X20</f>
        <v>0</v>
      </c>
      <c r="Y22" s="900">
        <f>Y20</f>
        <v>0</v>
      </c>
    </row>
    <row r="23" spans="1:25">
      <c r="A23" s="641"/>
      <c r="B23" s="952"/>
      <c r="C23" s="623"/>
      <c r="D23" s="623"/>
      <c r="E23" s="623"/>
      <c r="F23" s="623"/>
      <c r="G23" s="623"/>
      <c r="H23" s="815"/>
      <c r="I23" s="815"/>
      <c r="J23" s="815"/>
      <c r="K23" s="815"/>
      <c r="L23" s="815"/>
      <c r="M23" s="815"/>
      <c r="N23" s="815"/>
      <c r="O23" s="815"/>
      <c r="P23" s="815"/>
      <c r="Q23" s="815"/>
      <c r="R23" s="815"/>
      <c r="S23" s="815"/>
      <c r="T23" s="815"/>
      <c r="U23" s="774"/>
      <c r="V23" s="774"/>
      <c r="W23" s="774"/>
      <c r="X23" s="774"/>
      <c r="Y23" s="775"/>
    </row>
    <row r="24" spans="1:25">
      <c r="A24" s="649" t="s">
        <v>978</v>
      </c>
      <c r="B24" s="951" t="s">
        <v>1268</v>
      </c>
      <c r="C24" s="624">
        <f>'Form 1'!H29*100</f>
        <v>0</v>
      </c>
      <c r="D24" s="624">
        <f>'Form 1'!I29*100</f>
        <v>4304.6291075894569</v>
      </c>
      <c r="E24" s="624">
        <f>'Form 1'!J29*100</f>
        <v>-6869.9850674681502</v>
      </c>
      <c r="F24" s="624">
        <f>'Form 1'!K29</f>
        <v>-60.670249732830662</v>
      </c>
      <c r="G24" s="624">
        <f>'Form 1'!L29</f>
        <v>-51.552285634207458</v>
      </c>
      <c r="H24" s="818"/>
      <c r="I24" s="818"/>
      <c r="J24" s="818"/>
      <c r="K24" s="818"/>
      <c r="L24" s="818"/>
      <c r="M24" s="818"/>
      <c r="N24" s="1647" t="s">
        <v>978</v>
      </c>
      <c r="O24" s="814" t="s">
        <v>1268</v>
      </c>
      <c r="P24" s="624">
        <v>0</v>
      </c>
      <c r="Q24" s="624">
        <v>0</v>
      </c>
      <c r="R24" s="624">
        <v>0</v>
      </c>
      <c r="S24" s="624">
        <v>0</v>
      </c>
      <c r="T24" s="624">
        <v>0</v>
      </c>
      <c r="U24" s="781">
        <f>C24</f>
        <v>0</v>
      </c>
      <c r="V24" s="687">
        <f t="shared" ref="V24:Y24" si="9">D24</f>
        <v>4304.6291075894569</v>
      </c>
      <c r="W24" s="687">
        <f t="shared" si="9"/>
        <v>-6869.9850674681502</v>
      </c>
      <c r="X24" s="687">
        <f t="shared" si="9"/>
        <v>-60.670249732830662</v>
      </c>
      <c r="Y24" s="900">
        <f t="shared" si="9"/>
        <v>-51.552285634207458</v>
      </c>
    </row>
    <row r="25" spans="1:25">
      <c r="A25" s="641"/>
      <c r="B25" s="950"/>
      <c r="C25" s="623"/>
      <c r="D25" s="623"/>
      <c r="E25" s="623"/>
      <c r="F25" s="623"/>
      <c r="G25" s="623"/>
      <c r="H25" s="815"/>
      <c r="I25" s="815"/>
      <c r="J25" s="815"/>
      <c r="K25" s="815"/>
      <c r="L25" s="815"/>
      <c r="M25" s="815"/>
      <c r="N25" s="815"/>
      <c r="O25" s="1645"/>
      <c r="P25" s="623"/>
      <c r="Q25" s="623"/>
      <c r="R25" s="623"/>
      <c r="S25" s="623"/>
      <c r="T25" s="623"/>
      <c r="U25" s="774"/>
      <c r="V25" s="622"/>
      <c r="W25" s="622"/>
      <c r="X25" s="622"/>
      <c r="Y25" s="899"/>
    </row>
    <row r="26" spans="1:25">
      <c r="A26" s="648" t="s">
        <v>979</v>
      </c>
      <c r="B26" s="951" t="s">
        <v>1050</v>
      </c>
      <c r="C26" s="623"/>
      <c r="D26" s="623"/>
      <c r="E26" s="623"/>
      <c r="F26" s="623"/>
      <c r="G26" s="623"/>
      <c r="H26" s="815"/>
      <c r="I26" s="815"/>
      <c r="J26" s="815"/>
      <c r="K26" s="815"/>
      <c r="L26" s="815"/>
      <c r="M26" s="815"/>
      <c r="N26" s="774" t="s">
        <v>979</v>
      </c>
      <c r="O26" s="814" t="s">
        <v>1050</v>
      </c>
      <c r="P26" s="623"/>
      <c r="Q26" s="623"/>
      <c r="R26" s="623"/>
      <c r="S26" s="623"/>
      <c r="T26" s="623"/>
      <c r="U26" s="774"/>
      <c r="V26" s="687"/>
      <c r="W26" s="622"/>
      <c r="X26" s="622"/>
      <c r="Y26" s="899"/>
    </row>
    <row r="27" spans="1:25">
      <c r="A27" s="648">
        <v>1</v>
      </c>
      <c r="B27" s="951" t="s">
        <v>1017</v>
      </c>
      <c r="C27" s="623">
        <f>Incentive!E17*100</f>
        <v>1133.6529999999948</v>
      </c>
      <c r="D27" s="623">
        <f>Incentive!F17*100</f>
        <v>0</v>
      </c>
      <c r="E27" s="623">
        <f>Incentive!G17*100</f>
        <v>1930.6949999999961</v>
      </c>
      <c r="F27" s="623">
        <f>Incentive!H17*100</f>
        <v>0</v>
      </c>
      <c r="G27" s="623">
        <f>Incentive!I17*100</f>
        <v>0</v>
      </c>
      <c r="H27" s="815"/>
      <c r="I27" s="815"/>
      <c r="J27" s="815"/>
      <c r="K27" s="815"/>
      <c r="L27" s="815"/>
      <c r="M27" s="815"/>
      <c r="N27" s="774">
        <v>1</v>
      </c>
      <c r="O27" s="1645" t="s">
        <v>1017</v>
      </c>
      <c r="P27" s="622">
        <v>0</v>
      </c>
      <c r="Q27" s="622">
        <v>0</v>
      </c>
      <c r="R27" s="622">
        <v>0</v>
      </c>
      <c r="S27" s="687">
        <v>0</v>
      </c>
      <c r="T27" s="687">
        <v>0</v>
      </c>
      <c r="U27" s="774">
        <f>C27</f>
        <v>1133.6529999999948</v>
      </c>
      <c r="V27" s="622">
        <f t="shared" ref="V27:Y28" si="10">D27</f>
        <v>0</v>
      </c>
      <c r="W27" s="622">
        <f t="shared" si="10"/>
        <v>1930.6949999999961</v>
      </c>
      <c r="X27" s="622">
        <f t="shared" si="10"/>
        <v>0</v>
      </c>
      <c r="Y27" s="899">
        <f t="shared" si="10"/>
        <v>0</v>
      </c>
    </row>
    <row r="28" spans="1:25" ht="31.5">
      <c r="A28" s="648">
        <v>2</v>
      </c>
      <c r="B28" s="951" t="s">
        <v>1330</v>
      </c>
      <c r="C28" s="622">
        <f>'Form 1'!H33*100</f>
        <v>380.49352000000005</v>
      </c>
      <c r="D28" s="622">
        <f>'Form 1'!I33*100</f>
        <v>181.61856</v>
      </c>
      <c r="E28" s="622">
        <f>'Form 1'!J33*100</f>
        <v>231.51700000000002</v>
      </c>
      <c r="F28" s="622">
        <f>'Form 1'!K33*100</f>
        <v>0</v>
      </c>
      <c r="G28" s="622">
        <f>'Form 1'!L33*100</f>
        <v>0</v>
      </c>
      <c r="H28" s="815"/>
      <c r="I28" s="815"/>
      <c r="J28" s="815"/>
      <c r="K28" s="815"/>
      <c r="L28" s="815"/>
      <c r="M28" s="815"/>
      <c r="N28" s="774">
        <v>2</v>
      </c>
      <c r="O28" s="1645" t="s">
        <v>1330</v>
      </c>
      <c r="P28" s="622">
        <v>0</v>
      </c>
      <c r="Q28" s="622">
        <v>0</v>
      </c>
      <c r="R28" s="622">
        <v>0</v>
      </c>
      <c r="S28" s="687">
        <v>0</v>
      </c>
      <c r="T28" s="687">
        <v>0</v>
      </c>
      <c r="U28" s="774">
        <f>C28</f>
        <v>380.49352000000005</v>
      </c>
      <c r="V28" s="622">
        <f t="shared" si="10"/>
        <v>181.61856</v>
      </c>
      <c r="W28" s="622">
        <f t="shared" si="10"/>
        <v>231.51700000000002</v>
      </c>
      <c r="X28" s="622">
        <f t="shared" si="10"/>
        <v>0</v>
      </c>
      <c r="Y28" s="899">
        <f t="shared" si="10"/>
        <v>0</v>
      </c>
    </row>
    <row r="29" spans="1:25">
      <c r="A29" s="649"/>
      <c r="B29" s="951" t="s">
        <v>1077</v>
      </c>
      <c r="C29" s="624">
        <f>C27+C28</f>
        <v>1514.1465199999948</v>
      </c>
      <c r="D29" s="624">
        <f t="shared" ref="D29:G29" si="11">D27+D28</f>
        <v>181.61856</v>
      </c>
      <c r="E29" s="624">
        <f t="shared" si="11"/>
        <v>2162.2119999999959</v>
      </c>
      <c r="F29" s="624">
        <f t="shared" si="11"/>
        <v>0</v>
      </c>
      <c r="G29" s="624">
        <f t="shared" si="11"/>
        <v>0</v>
      </c>
      <c r="H29" s="815"/>
      <c r="I29" s="815"/>
      <c r="J29" s="815"/>
      <c r="K29" s="815"/>
      <c r="L29" s="815"/>
      <c r="M29" s="815"/>
      <c r="N29" s="1646"/>
      <c r="O29" s="814" t="s">
        <v>1077</v>
      </c>
      <c r="P29" s="687">
        <v>0</v>
      </c>
      <c r="Q29" s="687">
        <v>0</v>
      </c>
      <c r="R29" s="687">
        <v>0</v>
      </c>
      <c r="S29" s="687">
        <v>0</v>
      </c>
      <c r="T29" s="687">
        <v>0</v>
      </c>
      <c r="U29" s="774">
        <f>U27+U24+U28</f>
        <v>1514.1465199999948</v>
      </c>
      <c r="V29" s="687">
        <f t="shared" ref="V29:W29" si="12">V27+V24+V28</f>
        <v>4486.2476675894568</v>
      </c>
      <c r="W29" s="687">
        <f t="shared" si="12"/>
        <v>-4707.7730674681543</v>
      </c>
      <c r="X29" s="624">
        <f t="shared" ref="X29:Y29" si="13">X27+X28</f>
        <v>0</v>
      </c>
      <c r="Y29" s="907">
        <f t="shared" si="13"/>
        <v>0</v>
      </c>
    </row>
    <row r="30" spans="1:25">
      <c r="A30" s="649"/>
      <c r="B30" s="951"/>
      <c r="C30" s="624"/>
      <c r="D30" s="624"/>
      <c r="E30" s="624"/>
      <c r="F30" s="624"/>
      <c r="G30" s="624"/>
      <c r="H30" s="815"/>
      <c r="I30" s="815"/>
      <c r="J30" s="815"/>
      <c r="K30" s="815"/>
      <c r="L30" s="815"/>
      <c r="M30" s="815"/>
      <c r="N30" s="1646"/>
      <c r="O30" s="814"/>
      <c r="P30" s="624"/>
      <c r="Q30" s="624"/>
      <c r="R30" s="624"/>
      <c r="S30" s="624"/>
      <c r="T30" s="624"/>
      <c r="U30" s="774"/>
      <c r="V30" s="687"/>
      <c r="W30" s="687"/>
      <c r="X30" s="687"/>
      <c r="Y30" s="900"/>
    </row>
    <row r="31" spans="1:25" ht="31.5">
      <c r="A31" s="649" t="s">
        <v>980</v>
      </c>
      <c r="B31" s="951" t="s">
        <v>1067</v>
      </c>
      <c r="C31" s="687">
        <f>C17+C22+C24+C29</f>
        <v>408571.33023224812</v>
      </c>
      <c r="D31" s="687">
        <f t="shared" ref="D31:G31" si="14">D17+D22+D24+D29</f>
        <v>347579.48499363486</v>
      </c>
      <c r="E31" s="687">
        <f t="shared" si="14"/>
        <v>400192.34576161823</v>
      </c>
      <c r="F31" s="687">
        <f t="shared" si="14"/>
        <v>3556.9524287381705</v>
      </c>
      <c r="G31" s="687">
        <f t="shared" si="14"/>
        <v>3552.912822381556</v>
      </c>
      <c r="H31" s="815"/>
      <c r="I31" s="815"/>
      <c r="J31" s="815"/>
      <c r="K31" s="815"/>
      <c r="L31" s="815"/>
      <c r="M31" s="815"/>
      <c r="N31" s="1646" t="s">
        <v>980</v>
      </c>
      <c r="O31" s="814" t="s">
        <v>1067</v>
      </c>
      <c r="P31" s="687">
        <f>P17+P22+P24+P29</f>
        <v>399627.58437863423</v>
      </c>
      <c r="Q31" s="687">
        <f t="shared" ref="Q31:T31" si="15">Q17+Q22+Q24+Q29</f>
        <v>328383.70858043456</v>
      </c>
      <c r="R31" s="687">
        <f t="shared" si="15"/>
        <v>387460.735596666</v>
      </c>
      <c r="S31" s="687">
        <f t="shared" si="15"/>
        <v>3408.9043970000002</v>
      </c>
      <c r="T31" s="687">
        <f t="shared" si="15"/>
        <v>3387.6548748000005</v>
      </c>
      <c r="U31" s="774">
        <f>U17+U22+U29</f>
        <v>7771.5920598804323</v>
      </c>
      <c r="V31" s="687">
        <f t="shared" ref="V31:W31" si="16">V17+V22+V29</f>
        <v>19680.048639678036</v>
      </c>
      <c r="W31" s="687">
        <f t="shared" si="16"/>
        <v>13058.648449422672</v>
      </c>
      <c r="X31" s="687">
        <f t="shared" ref="X31:Y31" si="17">X17+X22+X24+X29</f>
        <v>148.04803173817061</v>
      </c>
      <c r="Y31" s="900">
        <f t="shared" si="17"/>
        <v>165.25794758155519</v>
      </c>
    </row>
    <row r="32" spans="1:25">
      <c r="A32" s="641"/>
      <c r="B32" s="950"/>
      <c r="C32" s="623"/>
      <c r="D32" s="623"/>
      <c r="E32" s="623"/>
      <c r="F32" s="623"/>
      <c r="G32" s="623"/>
      <c r="H32" s="815"/>
      <c r="I32" s="815"/>
      <c r="J32" s="815"/>
      <c r="K32" s="815"/>
      <c r="L32" s="815"/>
      <c r="M32" s="815"/>
      <c r="N32" s="815"/>
      <c r="O32" s="815"/>
      <c r="P32" s="815"/>
      <c r="Q32" s="815"/>
      <c r="R32" s="815"/>
      <c r="S32" s="815"/>
      <c r="T32" s="815"/>
      <c r="U32" s="815"/>
      <c r="V32" s="815"/>
      <c r="W32" s="815"/>
      <c r="X32" s="815"/>
      <c r="Y32" s="905"/>
    </row>
    <row r="33" spans="1:25">
      <c r="A33" s="648" t="s">
        <v>981</v>
      </c>
      <c r="B33" s="951" t="s">
        <v>1021</v>
      </c>
      <c r="C33" s="623"/>
      <c r="D33" s="623"/>
      <c r="E33" s="623"/>
      <c r="F33" s="623"/>
      <c r="G33" s="623"/>
      <c r="H33" s="815"/>
      <c r="I33" s="815"/>
      <c r="J33" s="815"/>
      <c r="K33" s="815"/>
      <c r="L33" s="815"/>
      <c r="M33" s="815"/>
      <c r="N33" s="774" t="s">
        <v>981</v>
      </c>
      <c r="O33" s="814" t="s">
        <v>1021</v>
      </c>
      <c r="P33" s="623"/>
      <c r="Q33" s="623"/>
      <c r="R33" s="623"/>
      <c r="S33" s="623"/>
      <c r="T33" s="623"/>
      <c r="U33" s="774"/>
      <c r="V33" s="814"/>
      <c r="W33" s="623"/>
      <c r="X33" s="623"/>
      <c r="Y33" s="904"/>
    </row>
    <row r="34" spans="1:25" hidden="1">
      <c r="A34" s="648">
        <v>1</v>
      </c>
      <c r="B34" s="953" t="s">
        <v>1022</v>
      </c>
      <c r="C34" s="623">
        <v>0</v>
      </c>
      <c r="D34" s="623">
        <f>0.719776545*100</f>
        <v>71.9776545</v>
      </c>
      <c r="E34" s="623">
        <f>4.975045818*100</f>
        <v>497.50458179999998</v>
      </c>
      <c r="F34" s="623">
        <f>AVERAGE(C34:E34)</f>
        <v>189.82741209999998</v>
      </c>
      <c r="G34" s="623">
        <f>F34</f>
        <v>189.82741209999998</v>
      </c>
      <c r="H34" s="815"/>
      <c r="I34" s="815"/>
      <c r="J34" s="815"/>
      <c r="K34" s="815"/>
      <c r="L34" s="815"/>
      <c r="M34" s="815"/>
      <c r="N34" s="815"/>
      <c r="O34" s="815"/>
      <c r="P34" s="815"/>
      <c r="Q34" s="815"/>
      <c r="R34" s="815"/>
      <c r="S34" s="815"/>
      <c r="T34" s="815"/>
      <c r="U34" s="815"/>
      <c r="V34" s="815"/>
      <c r="W34" s="815"/>
      <c r="X34" s="815"/>
      <c r="Y34" s="905"/>
    </row>
    <row r="35" spans="1:25" hidden="1">
      <c r="A35" s="648">
        <v>2</v>
      </c>
      <c r="B35" s="953" t="s">
        <v>1023</v>
      </c>
      <c r="C35" s="623">
        <v>0</v>
      </c>
      <c r="D35" s="623">
        <v>0</v>
      </c>
      <c r="E35" s="623">
        <v>0</v>
      </c>
      <c r="F35" s="623">
        <f t="shared" ref="F35:F45" si="18">AVERAGE(C35:E35)</f>
        <v>0</v>
      </c>
      <c r="G35" s="623">
        <f t="shared" ref="G35:G45" si="19">F35</f>
        <v>0</v>
      </c>
      <c r="H35" s="815"/>
      <c r="I35" s="815"/>
      <c r="J35" s="815"/>
      <c r="K35" s="815"/>
      <c r="L35" s="815"/>
      <c r="M35" s="815"/>
      <c r="N35" s="815"/>
      <c r="O35" s="815"/>
      <c r="P35" s="815"/>
      <c r="Q35" s="815"/>
      <c r="R35" s="815"/>
      <c r="S35" s="815"/>
      <c r="T35" s="815"/>
      <c r="U35" s="815"/>
      <c r="V35" s="815"/>
      <c r="W35" s="815"/>
      <c r="X35" s="815"/>
      <c r="Y35" s="905"/>
    </row>
    <row r="36" spans="1:25" hidden="1">
      <c r="A36" s="648">
        <v>3</v>
      </c>
      <c r="B36" s="953" t="s">
        <v>1024</v>
      </c>
      <c r="C36" s="623">
        <f>0.211421*100</f>
        <v>21.142099999999999</v>
      </c>
      <c r="D36" s="623">
        <f>0.1499786*100</f>
        <v>14.997859999999999</v>
      </c>
      <c r="E36" s="623">
        <f>0.081283725*100</f>
        <v>8.1283724999999993</v>
      </c>
      <c r="F36" s="623">
        <f t="shared" si="18"/>
        <v>14.756110833333333</v>
      </c>
      <c r="G36" s="623">
        <f t="shared" si="19"/>
        <v>14.756110833333333</v>
      </c>
      <c r="H36" s="815"/>
      <c r="I36" s="815"/>
      <c r="J36" s="815"/>
      <c r="K36" s="815"/>
      <c r="L36" s="815"/>
      <c r="M36" s="815"/>
      <c r="N36" s="815"/>
      <c r="O36" s="815"/>
      <c r="P36" s="815"/>
      <c r="Q36" s="815"/>
      <c r="R36" s="815"/>
      <c r="S36" s="815"/>
      <c r="T36" s="815"/>
      <c r="U36" s="815"/>
      <c r="V36" s="815"/>
      <c r="W36" s="815"/>
      <c r="X36" s="815"/>
      <c r="Y36" s="905"/>
    </row>
    <row r="37" spans="1:25" hidden="1">
      <c r="A37" s="648">
        <v>4</v>
      </c>
      <c r="B37" s="953" t="s">
        <v>1025</v>
      </c>
      <c r="C37" s="623">
        <f>0.011778*100</f>
        <v>1.1778</v>
      </c>
      <c r="D37" s="623">
        <f>0.0129515*100</f>
        <v>1.29515</v>
      </c>
      <c r="E37" s="623">
        <f>0.0174776*100</f>
        <v>1.74776</v>
      </c>
      <c r="F37" s="623">
        <f t="shared" si="18"/>
        <v>1.4069033333333334</v>
      </c>
      <c r="G37" s="623">
        <f t="shared" si="19"/>
        <v>1.4069033333333334</v>
      </c>
      <c r="H37" s="815"/>
      <c r="I37" s="815"/>
      <c r="J37" s="815"/>
      <c r="K37" s="815"/>
      <c r="L37" s="815"/>
      <c r="M37" s="815"/>
      <c r="N37" s="815"/>
      <c r="O37" s="815"/>
      <c r="P37" s="815"/>
      <c r="Q37" s="815"/>
      <c r="R37" s="815"/>
      <c r="S37" s="815"/>
      <c r="T37" s="815"/>
      <c r="U37" s="815"/>
      <c r="V37" s="815"/>
      <c r="W37" s="815"/>
      <c r="X37" s="815"/>
      <c r="Y37" s="905"/>
    </row>
    <row r="38" spans="1:25" hidden="1">
      <c r="A38" s="648">
        <v>5</v>
      </c>
      <c r="B38" s="953" t="s">
        <v>1026</v>
      </c>
      <c r="C38" s="623">
        <f>0.6462399*100</f>
        <v>64.623989999999992</v>
      </c>
      <c r="D38" s="623">
        <f>0.9264863*100</f>
        <v>92.648629999999997</v>
      </c>
      <c r="E38" s="623">
        <f>0.699255927*100</f>
        <v>69.92559270000001</v>
      </c>
      <c r="F38" s="623">
        <f t="shared" si="18"/>
        <v>75.732737566666671</v>
      </c>
      <c r="G38" s="623">
        <f t="shared" si="19"/>
        <v>75.732737566666671</v>
      </c>
      <c r="H38" s="815"/>
      <c r="I38" s="815"/>
      <c r="J38" s="815"/>
      <c r="K38" s="815"/>
      <c r="L38" s="815"/>
      <c r="M38" s="815"/>
      <c r="N38" s="815"/>
      <c r="O38" s="815"/>
      <c r="P38" s="815"/>
      <c r="Q38" s="815"/>
      <c r="R38" s="815"/>
      <c r="S38" s="815"/>
      <c r="T38" s="815"/>
      <c r="U38" s="815"/>
      <c r="V38" s="815"/>
      <c r="W38" s="815"/>
      <c r="X38" s="815"/>
      <c r="Y38" s="905"/>
    </row>
    <row r="39" spans="1:25" hidden="1">
      <c r="A39" s="648">
        <v>6</v>
      </c>
      <c r="B39" s="953" t="s">
        <v>1027</v>
      </c>
      <c r="C39" s="623">
        <v>0</v>
      </c>
      <c r="D39" s="623">
        <v>0</v>
      </c>
      <c r="E39" s="623">
        <v>0</v>
      </c>
      <c r="F39" s="623">
        <f t="shared" si="18"/>
        <v>0</v>
      </c>
      <c r="G39" s="623">
        <f t="shared" si="19"/>
        <v>0</v>
      </c>
      <c r="H39" s="815"/>
      <c r="I39" s="815"/>
      <c r="J39" s="815"/>
      <c r="K39" s="815"/>
      <c r="L39" s="815"/>
      <c r="M39" s="815"/>
      <c r="N39" s="815"/>
      <c r="O39" s="815"/>
      <c r="P39" s="815"/>
      <c r="Q39" s="815"/>
      <c r="R39" s="815"/>
      <c r="S39" s="815"/>
      <c r="T39" s="815"/>
      <c r="U39" s="815"/>
      <c r="V39" s="815"/>
      <c r="W39" s="815"/>
      <c r="X39" s="815"/>
      <c r="Y39" s="905"/>
    </row>
    <row r="40" spans="1:25" hidden="1">
      <c r="A40" s="648">
        <v>7</v>
      </c>
      <c r="B40" s="954" t="s">
        <v>1028</v>
      </c>
      <c r="C40" s="623">
        <v>0</v>
      </c>
      <c r="D40" s="623">
        <v>0</v>
      </c>
      <c r="E40" s="623">
        <v>0</v>
      </c>
      <c r="F40" s="623">
        <f t="shared" si="18"/>
        <v>0</v>
      </c>
      <c r="G40" s="623">
        <f t="shared" si="19"/>
        <v>0</v>
      </c>
      <c r="H40" s="815"/>
      <c r="I40" s="815"/>
      <c r="J40" s="815"/>
      <c r="K40" s="815"/>
      <c r="L40" s="815"/>
      <c r="M40" s="815"/>
      <c r="N40" s="815"/>
      <c r="O40" s="815"/>
      <c r="P40" s="815"/>
      <c r="Q40" s="815"/>
      <c r="R40" s="815"/>
      <c r="S40" s="815"/>
      <c r="T40" s="815"/>
      <c r="U40" s="815"/>
      <c r="V40" s="815"/>
      <c r="W40" s="815"/>
      <c r="X40" s="815"/>
      <c r="Y40" s="905"/>
    </row>
    <row r="41" spans="1:25" hidden="1">
      <c r="A41" s="648">
        <v>8</v>
      </c>
      <c r="B41" s="953" t="s">
        <v>1265</v>
      </c>
      <c r="C41" s="623">
        <v>0</v>
      </c>
      <c r="D41" s="623">
        <f>3.061732*100</f>
        <v>306.17320000000001</v>
      </c>
      <c r="E41" s="623">
        <v>0</v>
      </c>
      <c r="F41" s="623">
        <f t="shared" si="18"/>
        <v>102.05773333333333</v>
      </c>
      <c r="G41" s="623">
        <f t="shared" si="19"/>
        <v>102.05773333333333</v>
      </c>
      <c r="H41" s="815"/>
      <c r="I41" s="815"/>
      <c r="J41" s="815"/>
      <c r="K41" s="815"/>
      <c r="L41" s="815"/>
      <c r="M41" s="815"/>
      <c r="N41" s="815"/>
      <c r="O41" s="815"/>
      <c r="P41" s="815"/>
      <c r="Q41" s="815"/>
      <c r="R41" s="815"/>
      <c r="S41" s="815"/>
      <c r="T41" s="815"/>
      <c r="U41" s="815"/>
      <c r="V41" s="815"/>
      <c r="W41" s="815"/>
      <c r="X41" s="815"/>
      <c r="Y41" s="905"/>
    </row>
    <row r="42" spans="1:25" hidden="1">
      <c r="A42" s="648">
        <v>9</v>
      </c>
      <c r="B42" s="953" t="s">
        <v>1266</v>
      </c>
      <c r="C42" s="623">
        <v>0</v>
      </c>
      <c r="D42" s="623">
        <v>0</v>
      </c>
      <c r="E42" s="623">
        <v>0</v>
      </c>
      <c r="F42" s="623">
        <f t="shared" si="18"/>
        <v>0</v>
      </c>
      <c r="G42" s="623">
        <f t="shared" si="19"/>
        <v>0</v>
      </c>
      <c r="H42" s="815"/>
      <c r="I42" s="815"/>
      <c r="J42" s="815"/>
      <c r="K42" s="815"/>
      <c r="L42" s="815"/>
      <c r="M42" s="815"/>
      <c r="N42" s="815"/>
      <c r="O42" s="815"/>
      <c r="P42" s="815"/>
      <c r="Q42" s="815"/>
      <c r="R42" s="815"/>
      <c r="S42" s="815"/>
      <c r="T42" s="815"/>
      <c r="U42" s="815"/>
      <c r="V42" s="815"/>
      <c r="W42" s="815"/>
      <c r="X42" s="815"/>
      <c r="Y42" s="905"/>
    </row>
    <row r="43" spans="1:25" hidden="1">
      <c r="A43" s="648">
        <v>10</v>
      </c>
      <c r="B43" s="955" t="s">
        <v>1029</v>
      </c>
      <c r="C43" s="623">
        <f>0.159126488*100</f>
        <v>15.912648800000001</v>
      </c>
      <c r="D43" s="623">
        <f>0.08482065*100</f>
        <v>8.4820650000000004</v>
      </c>
      <c r="E43" s="623">
        <f>0.190147014000004*100</f>
        <v>19.014701400000401</v>
      </c>
      <c r="F43" s="623">
        <f t="shared" si="18"/>
        <v>14.469805066666801</v>
      </c>
      <c r="G43" s="623">
        <f t="shared" si="19"/>
        <v>14.469805066666801</v>
      </c>
      <c r="H43" s="815"/>
      <c r="I43" s="815"/>
      <c r="J43" s="815"/>
      <c r="K43" s="815"/>
      <c r="L43" s="815"/>
      <c r="M43" s="815"/>
      <c r="N43" s="815"/>
      <c r="O43" s="815"/>
      <c r="P43" s="815"/>
      <c r="Q43" s="815"/>
      <c r="R43" s="815"/>
      <c r="S43" s="815"/>
      <c r="T43" s="815"/>
      <c r="U43" s="815"/>
      <c r="V43" s="815"/>
      <c r="W43" s="815"/>
      <c r="X43" s="815"/>
      <c r="Y43" s="905"/>
    </row>
    <row r="44" spans="1:25" hidden="1">
      <c r="A44" s="648">
        <v>11</v>
      </c>
      <c r="B44" s="955" t="s">
        <v>1030</v>
      </c>
      <c r="C44" s="623">
        <f>0.262183359*100</f>
        <v>26.2183359</v>
      </c>
      <c r="D44" s="623">
        <f>0.227405286*100</f>
        <v>22.740528600000001</v>
      </c>
      <c r="E44" s="623">
        <f>0.256722808*100</f>
        <v>25.672280800000003</v>
      </c>
      <c r="F44" s="623">
        <f t="shared" si="18"/>
        <v>24.877048433333339</v>
      </c>
      <c r="G44" s="623">
        <f t="shared" si="19"/>
        <v>24.877048433333339</v>
      </c>
      <c r="H44" s="815"/>
      <c r="I44" s="815"/>
      <c r="J44" s="815"/>
      <c r="K44" s="815"/>
      <c r="L44" s="815"/>
      <c r="M44" s="815"/>
      <c r="N44" s="815"/>
      <c r="O44" s="815"/>
      <c r="P44" s="815"/>
      <c r="Q44" s="815"/>
      <c r="R44" s="815"/>
      <c r="S44" s="815"/>
      <c r="T44" s="815"/>
      <c r="U44" s="815"/>
      <c r="V44" s="815"/>
      <c r="W44" s="815"/>
      <c r="X44" s="815"/>
      <c r="Y44" s="905"/>
    </row>
    <row r="45" spans="1:25" hidden="1">
      <c r="A45" s="648">
        <v>12</v>
      </c>
      <c r="B45" s="955" t="s">
        <v>1267</v>
      </c>
      <c r="C45" s="623">
        <f>0.806943049*100</f>
        <v>80.694304900000006</v>
      </c>
      <c r="D45" s="623">
        <f>0.545609288*100</f>
        <v>54.560928799999999</v>
      </c>
      <c r="E45" s="623">
        <f>0.991258881*100</f>
        <v>99.125888099999997</v>
      </c>
      <c r="F45" s="623">
        <f t="shared" si="18"/>
        <v>78.127040600000001</v>
      </c>
      <c r="G45" s="623">
        <f t="shared" si="19"/>
        <v>78.127040600000001</v>
      </c>
      <c r="H45" s="815"/>
      <c r="I45" s="815"/>
      <c r="J45" s="815"/>
      <c r="K45" s="815"/>
      <c r="L45" s="815"/>
      <c r="M45" s="815"/>
      <c r="N45" s="815"/>
      <c r="O45" s="815"/>
      <c r="P45" s="815"/>
      <c r="Q45" s="815"/>
      <c r="R45" s="815"/>
      <c r="S45" s="815"/>
      <c r="T45" s="815"/>
      <c r="U45" s="815"/>
      <c r="V45" s="815"/>
      <c r="W45" s="815"/>
      <c r="X45" s="815"/>
      <c r="Y45" s="905"/>
    </row>
    <row r="46" spans="1:25">
      <c r="A46" s="648"/>
      <c r="B46" s="906" t="s">
        <v>1331</v>
      </c>
      <c r="C46" s="624">
        <f>SUM(C34:C45)</f>
        <v>209.76917960000003</v>
      </c>
      <c r="D46" s="624">
        <f t="shared" ref="D46:E46" si="20">SUM(D34:D45)</f>
        <v>572.87601689999997</v>
      </c>
      <c r="E46" s="624">
        <f t="shared" si="20"/>
        <v>721.11917730000039</v>
      </c>
      <c r="F46" s="624">
        <f>SUM(F34:F45)/100</f>
        <v>5.0125479126666681</v>
      </c>
      <c r="G46" s="624">
        <f>SUM(G34:G45)/100</f>
        <v>5.0125479126666681</v>
      </c>
      <c r="H46" s="815"/>
      <c r="I46" s="815"/>
      <c r="J46" s="815"/>
      <c r="K46" s="815"/>
      <c r="L46" s="815"/>
      <c r="M46" s="815"/>
      <c r="N46" s="815"/>
      <c r="O46" s="818" t="s">
        <v>1331</v>
      </c>
      <c r="P46" s="624">
        <v>1792</v>
      </c>
      <c r="Q46" s="624">
        <v>1792</v>
      </c>
      <c r="R46" s="624">
        <v>1792</v>
      </c>
      <c r="S46" s="624">
        <v>17.920000000000002</v>
      </c>
      <c r="T46" s="624">
        <v>17.920000000000002</v>
      </c>
      <c r="U46" s="815">
        <f>C46-P46</f>
        <v>-1582.2308204000001</v>
      </c>
      <c r="V46" s="818">
        <f t="shared" ref="V46:Y46" si="21">D46-Q46</f>
        <v>-1219.1239831</v>
      </c>
      <c r="W46" s="624">
        <f t="shared" si="21"/>
        <v>-1070.8808226999995</v>
      </c>
      <c r="X46" s="624">
        <f t="shared" si="21"/>
        <v>-12.907452087333333</v>
      </c>
      <c r="Y46" s="907">
        <f t="shared" si="21"/>
        <v>-12.907452087333333</v>
      </c>
    </row>
    <row r="47" spans="1:25">
      <c r="A47" s="641"/>
      <c r="B47" s="950"/>
      <c r="C47" s="623"/>
      <c r="D47" s="623"/>
      <c r="E47" s="623"/>
      <c r="F47" s="623"/>
      <c r="G47" s="623"/>
      <c r="H47" s="815"/>
      <c r="I47" s="815"/>
      <c r="J47" s="815"/>
      <c r="K47" s="815"/>
      <c r="L47" s="815"/>
      <c r="M47" s="815"/>
      <c r="N47" s="815"/>
      <c r="O47" s="815"/>
      <c r="P47" s="815"/>
      <c r="Q47" s="815"/>
      <c r="R47" s="815"/>
      <c r="S47" s="815"/>
      <c r="T47" s="815"/>
      <c r="U47" s="815"/>
      <c r="V47" s="815"/>
      <c r="W47" s="815"/>
      <c r="X47" s="815"/>
      <c r="Y47" s="905"/>
    </row>
    <row r="48" spans="1:25" ht="47.25">
      <c r="A48" s="782" t="s">
        <v>982</v>
      </c>
      <c r="B48" s="956" t="s">
        <v>1085</v>
      </c>
      <c r="C48" s="687">
        <f>C31-C46</f>
        <v>408361.56105264812</v>
      </c>
      <c r="D48" s="687">
        <f>D31-D46</f>
        <v>347006.60897673486</v>
      </c>
      <c r="E48" s="687">
        <f>E31-E46</f>
        <v>399471.22658431821</v>
      </c>
      <c r="F48" s="687">
        <f>F31-F46</f>
        <v>3551.9398808255037</v>
      </c>
      <c r="G48" s="687">
        <f>G31-G46</f>
        <v>3547.9002744688892</v>
      </c>
      <c r="H48" s="818"/>
      <c r="I48" s="818">
        <f>D48/C48</f>
        <v>0.84975336092418585</v>
      </c>
      <c r="J48" s="818">
        <f t="shared" ref="J48:M48" si="22">E48/D48</f>
        <v>1.1511919838134865</v>
      </c>
      <c r="K48" s="818">
        <f t="shared" si="22"/>
        <v>8.8916038113593127E-3</v>
      </c>
      <c r="L48" s="818">
        <f t="shared" si="22"/>
        <v>0.998862704186402</v>
      </c>
      <c r="M48" s="818">
        <f t="shared" si="22"/>
        <v>0</v>
      </c>
      <c r="N48" s="781" t="s">
        <v>982</v>
      </c>
      <c r="O48" s="821" t="s">
        <v>1085</v>
      </c>
      <c r="P48" s="687">
        <f t="shared" ref="P48:W48" si="23">P31-P46</f>
        <v>397835.58437863423</v>
      </c>
      <c r="Q48" s="687">
        <f t="shared" si="23"/>
        <v>326591.70858043456</v>
      </c>
      <c r="R48" s="687">
        <f t="shared" si="23"/>
        <v>385668.735596666</v>
      </c>
      <c r="S48" s="687">
        <f t="shared" si="23"/>
        <v>3390.9843970000002</v>
      </c>
      <c r="T48" s="687">
        <f t="shared" si="23"/>
        <v>3369.7348748000004</v>
      </c>
      <c r="U48" s="781">
        <f t="shared" si="23"/>
        <v>9353.8228802804333</v>
      </c>
      <c r="V48" s="821">
        <f t="shared" si="23"/>
        <v>20899.172622778035</v>
      </c>
      <c r="W48" s="687">
        <f t="shared" si="23"/>
        <v>14129.529272122671</v>
      </c>
      <c r="X48" s="687">
        <f t="shared" ref="X48:Y48" si="24">X31-X46</f>
        <v>160.95548382550393</v>
      </c>
      <c r="Y48" s="900">
        <f t="shared" si="24"/>
        <v>178.16539966888851</v>
      </c>
    </row>
    <row r="49" spans="1:25">
      <c r="A49" s="782" t="s">
        <v>983</v>
      </c>
      <c r="B49" s="951" t="s">
        <v>1051</v>
      </c>
      <c r="C49" s="622">
        <f>'FUEL COST'!F17</f>
        <v>8671.2289999999994</v>
      </c>
      <c r="D49" s="622">
        <f>'FUEL COST'!G17</f>
        <v>6895.3293599999997</v>
      </c>
      <c r="E49" s="622">
        <f>'FUEL COST'!H17</f>
        <v>8807.5649999999987</v>
      </c>
      <c r="F49" s="622">
        <f>'FUEL COST'!I17</f>
        <v>8421.4259999999995</v>
      </c>
      <c r="G49" s="622">
        <f>'FUEL COST'!J17</f>
        <v>8444.4984000000004</v>
      </c>
      <c r="H49" s="815"/>
      <c r="I49" s="815"/>
      <c r="J49" s="815"/>
      <c r="K49" s="815"/>
      <c r="L49" s="815"/>
      <c r="M49" s="815"/>
      <c r="N49" s="774" t="s">
        <v>983</v>
      </c>
      <c r="O49" s="1645" t="s">
        <v>1051</v>
      </c>
      <c r="P49" s="622">
        <v>8671.2289999999994</v>
      </c>
      <c r="Q49" s="622">
        <v>6895.3293599999997</v>
      </c>
      <c r="R49" s="622">
        <v>8807.5649999999987</v>
      </c>
      <c r="S49" s="622">
        <v>8421.4259999999995</v>
      </c>
      <c r="T49" s="622">
        <v>8444.4984000000004</v>
      </c>
      <c r="U49" s="622">
        <v>8671.2289999999994</v>
      </c>
      <c r="V49" s="622">
        <v>6895.3293599999997</v>
      </c>
      <c r="W49" s="622">
        <v>8807.5649999999987</v>
      </c>
      <c r="X49" s="622">
        <v>8421.4259999999995</v>
      </c>
      <c r="Y49" s="899">
        <v>8444.4984000000004</v>
      </c>
    </row>
    <row r="50" spans="1:25" ht="31.5">
      <c r="A50" s="782" t="s">
        <v>984</v>
      </c>
      <c r="B50" s="951" t="s">
        <v>1078</v>
      </c>
      <c r="C50" s="622">
        <f>C48/(C49*10)</f>
        <v>4.7093850370304846</v>
      </c>
      <c r="D50" s="622">
        <f t="shared" ref="D50:E50" si="25">D48/(D49*10)</f>
        <v>5.0324878023917172</v>
      </c>
      <c r="E50" s="622">
        <f t="shared" si="25"/>
        <v>4.5355467326590064</v>
      </c>
      <c r="F50" s="622">
        <f>F48/(F49*10)*100</f>
        <v>4.2177416043619029</v>
      </c>
      <c r="G50" s="622">
        <f t="shared" ref="G50:Y50" si="26">G48/(G49*10)*100</f>
        <v>4.2014340063927174</v>
      </c>
      <c r="H50" s="622" t="e">
        <f t="shared" si="26"/>
        <v>#DIV/0!</v>
      </c>
      <c r="I50" s="622" t="e">
        <f t="shared" si="26"/>
        <v>#DIV/0!</v>
      </c>
      <c r="J50" s="622" t="e">
        <f t="shared" si="26"/>
        <v>#DIV/0!</v>
      </c>
      <c r="K50" s="622" t="e">
        <f t="shared" si="26"/>
        <v>#DIV/0!</v>
      </c>
      <c r="L50" s="622" t="e">
        <f t="shared" si="26"/>
        <v>#DIV/0!</v>
      </c>
      <c r="M50" s="622" t="e">
        <f t="shared" si="26"/>
        <v>#DIV/0!</v>
      </c>
      <c r="N50" s="622" t="e">
        <f t="shared" si="26"/>
        <v>#VALUE!</v>
      </c>
      <c r="O50" s="622" t="e">
        <f t="shared" si="26"/>
        <v>#VALUE!</v>
      </c>
      <c r="P50" s="622">
        <f t="shared" si="26"/>
        <v>458.79953623486847</v>
      </c>
      <c r="Q50" s="622">
        <f t="shared" si="26"/>
        <v>473.64192706298007</v>
      </c>
      <c r="R50" s="622">
        <f t="shared" si="26"/>
        <v>437.88349628605187</v>
      </c>
      <c r="S50" s="622">
        <f t="shared" si="26"/>
        <v>4.0266154413753679</v>
      </c>
      <c r="T50" s="622">
        <f t="shared" si="26"/>
        <v>3.9904500127562352</v>
      </c>
      <c r="U50" s="622">
        <f t="shared" si="26"/>
        <v>10.787193926351655</v>
      </c>
      <c r="V50" s="622">
        <f t="shared" si="26"/>
        <v>30.309172385607457</v>
      </c>
      <c r="W50" s="622">
        <f t="shared" si="26"/>
        <v>16.0424921895242</v>
      </c>
      <c r="X50" s="622">
        <f t="shared" si="26"/>
        <v>0.19112616298653454</v>
      </c>
      <c r="Y50" s="899">
        <f t="shared" si="26"/>
        <v>0.21098399363648235</v>
      </c>
    </row>
    <row r="51" spans="1:25" ht="117" hidden="1" customHeight="1">
      <c r="A51" s="1738" t="s">
        <v>1086</v>
      </c>
      <c r="B51" s="1739"/>
      <c r="C51" s="1739"/>
      <c r="D51" s="1739"/>
      <c r="E51" s="1739"/>
      <c r="F51" s="1739"/>
      <c r="G51" s="1740"/>
      <c r="H51" s="1606"/>
      <c r="I51" s="1606"/>
      <c r="J51" s="1606"/>
      <c r="K51" s="1606"/>
      <c r="L51" s="1606"/>
      <c r="M51" s="1606"/>
      <c r="N51" s="1606"/>
      <c r="O51" s="1606"/>
      <c r="P51" s="1606"/>
      <c r="Q51" s="1606"/>
      <c r="R51" s="1606"/>
      <c r="S51" s="1606"/>
      <c r="T51" s="1606"/>
      <c r="U51" s="1606"/>
      <c r="V51" s="1606"/>
      <c r="W51" s="637"/>
      <c r="X51" s="1606"/>
      <c r="Y51" s="637"/>
    </row>
    <row r="52" spans="1:25">
      <c r="A52" s="636"/>
      <c r="B52" s="908"/>
      <c r="C52" s="908"/>
      <c r="D52" s="908"/>
      <c r="E52" s="908"/>
      <c r="F52" s="908"/>
      <c r="G52" s="908"/>
      <c r="H52" s="1606"/>
      <c r="I52" s="1606"/>
      <c r="J52" s="1606"/>
      <c r="K52" s="1606"/>
      <c r="L52" s="1606"/>
      <c r="M52" s="1606"/>
      <c r="N52" s="1606"/>
      <c r="O52" s="1606"/>
      <c r="P52" s="1606"/>
      <c r="Q52" s="1606"/>
      <c r="R52" s="1606"/>
      <c r="S52" s="1606"/>
      <c r="T52" s="1606"/>
      <c r="U52" s="1606"/>
      <c r="V52" s="1606"/>
      <c r="W52" s="1606"/>
      <c r="X52" s="1606"/>
      <c r="Y52" s="637"/>
    </row>
    <row r="53" spans="1:25" ht="48" customHeight="1">
      <c r="A53" s="1723" t="s">
        <v>1471</v>
      </c>
      <c r="B53" s="1724"/>
      <c r="C53" s="1724"/>
      <c r="D53" s="1724"/>
      <c r="E53" s="1724"/>
      <c r="F53" s="1724"/>
      <c r="G53" s="1724"/>
      <c r="H53" s="1724"/>
      <c r="I53" s="1724"/>
      <c r="J53" s="1724"/>
      <c r="K53" s="1724"/>
      <c r="L53" s="1724"/>
      <c r="M53" s="1724"/>
      <c r="N53" s="1724"/>
      <c r="O53" s="1724"/>
      <c r="P53" s="1724"/>
      <c r="Q53" s="1724"/>
      <c r="R53" s="1724"/>
      <c r="S53" s="1724"/>
      <c r="T53" s="1724"/>
      <c r="U53" s="1724"/>
      <c r="V53" s="1724"/>
      <c r="W53" s="1724"/>
      <c r="X53" s="1724"/>
      <c r="Y53" s="1725"/>
    </row>
    <row r="54" spans="1:25" ht="22.5" customHeight="1">
      <c r="A54" s="1723" t="s">
        <v>1472</v>
      </c>
      <c r="B54" s="1724"/>
      <c r="C54" s="1724"/>
      <c r="D54" s="1724"/>
      <c r="E54" s="1724"/>
      <c r="F54" s="1724"/>
      <c r="G54" s="1724"/>
      <c r="H54" s="1724"/>
      <c r="I54" s="1724"/>
      <c r="J54" s="1724"/>
      <c r="K54" s="1724"/>
      <c r="L54" s="1724"/>
      <c r="M54" s="1724"/>
      <c r="N54" s="1724"/>
      <c r="O54" s="1724"/>
      <c r="P54" s="1724"/>
      <c r="Q54" s="1724"/>
      <c r="R54" s="1724"/>
      <c r="S54" s="1724"/>
      <c r="T54" s="1724"/>
      <c r="U54" s="1724"/>
      <c r="V54" s="1724"/>
      <c r="W54" s="1724"/>
      <c r="X54" s="1724"/>
      <c r="Y54" s="1725"/>
    </row>
    <row r="55" spans="1:25">
      <c r="A55" s="1603"/>
      <c r="B55" s="1604"/>
      <c r="C55" s="1604"/>
      <c r="D55" s="1604"/>
      <c r="E55" s="1604"/>
      <c r="F55" s="1604"/>
      <c r="G55" s="1604"/>
      <c r="H55" s="1604"/>
      <c r="I55" s="1604"/>
      <c r="J55" s="1604"/>
      <c r="K55" s="1604"/>
      <c r="L55" s="1604"/>
      <c r="M55" s="1604"/>
      <c r="N55" s="1604"/>
      <c r="O55" s="1604"/>
      <c r="P55" s="1604"/>
      <c r="Q55" s="1604"/>
      <c r="R55" s="1604"/>
      <c r="S55" s="1604"/>
      <c r="T55" s="1604"/>
      <c r="U55" s="1604"/>
      <c r="V55" s="1604"/>
      <c r="W55" s="1604"/>
      <c r="X55" s="1604"/>
      <c r="Y55" s="1605"/>
    </row>
    <row r="56" spans="1:25" ht="16.5" thickBot="1">
      <c r="A56" s="644"/>
      <c r="B56" s="909"/>
      <c r="C56" s="909"/>
      <c r="D56" s="909"/>
      <c r="E56" s="909"/>
      <c r="F56" s="909"/>
      <c r="G56" s="645"/>
      <c r="H56" s="645"/>
      <c r="I56" s="645"/>
      <c r="J56" s="645"/>
      <c r="K56" s="645"/>
      <c r="L56" s="645"/>
      <c r="M56" s="645"/>
      <c r="N56" s="645"/>
      <c r="O56" s="645"/>
      <c r="P56" s="645"/>
      <c r="Q56" s="645"/>
      <c r="R56" s="645"/>
      <c r="S56" s="645"/>
      <c r="T56" s="645"/>
      <c r="U56" s="1742" t="s">
        <v>700</v>
      </c>
      <c r="V56" s="1742"/>
      <c r="W56" s="645"/>
      <c r="X56" s="1742" t="s">
        <v>700</v>
      </c>
      <c r="Y56" s="1747"/>
    </row>
    <row r="57" spans="1:25">
      <c r="A57" s="941"/>
      <c r="B57" s="908"/>
      <c r="C57" s="908"/>
      <c r="D57" s="908"/>
      <c r="E57" s="908"/>
      <c r="F57" s="908"/>
      <c r="G57" s="908"/>
      <c r="H57" s="941"/>
      <c r="I57" s="941"/>
      <c r="J57" s="941"/>
      <c r="K57" s="941"/>
      <c r="L57" s="941"/>
      <c r="M57" s="941"/>
      <c r="N57" s="941"/>
      <c r="O57" s="941"/>
      <c r="P57" s="811"/>
      <c r="Q57" s="941"/>
      <c r="R57" s="941"/>
      <c r="S57" s="941"/>
      <c r="T57" s="941"/>
      <c r="U57" s="941"/>
      <c r="V57" s="941"/>
      <c r="W57" s="941"/>
      <c r="X57" s="941"/>
      <c r="Y57" s="941"/>
    </row>
    <row r="58" spans="1:25">
      <c r="A58" s="941"/>
      <c r="B58" s="908"/>
      <c r="C58" s="908"/>
      <c r="D58" s="908"/>
      <c r="E58" s="908"/>
      <c r="F58" s="941"/>
      <c r="G58" s="908"/>
      <c r="H58" s="941"/>
      <c r="I58" s="941"/>
      <c r="J58" s="941"/>
      <c r="K58" s="941"/>
      <c r="L58" s="941"/>
      <c r="M58" s="941"/>
      <c r="N58" s="941"/>
      <c r="O58" s="941"/>
      <c r="P58" s="941"/>
      <c r="Q58" s="941"/>
      <c r="R58" s="941"/>
      <c r="S58" s="941"/>
      <c r="T58" s="941"/>
      <c r="U58" s="941"/>
      <c r="V58" s="941"/>
      <c r="W58" s="941"/>
      <c r="X58" s="811"/>
      <c r="Y58" s="811"/>
    </row>
    <row r="59" spans="1:25">
      <c r="A59" s="941"/>
      <c r="B59" s="908"/>
      <c r="C59" s="908"/>
      <c r="D59" s="908"/>
      <c r="E59" s="908"/>
      <c r="F59" s="908"/>
      <c r="G59" s="908"/>
      <c r="H59" s="941"/>
      <c r="I59" s="941"/>
      <c r="J59" s="941"/>
      <c r="K59" s="941"/>
      <c r="L59" s="941"/>
      <c r="M59" s="941"/>
      <c r="N59" s="941"/>
      <c r="O59" s="941"/>
      <c r="P59" s="941"/>
      <c r="Q59" s="941"/>
      <c r="R59" s="941"/>
      <c r="S59" s="941"/>
      <c r="T59" s="941"/>
      <c r="U59" s="941"/>
      <c r="V59" s="941"/>
      <c r="W59" s="941"/>
      <c r="X59" s="941"/>
      <c r="Y59" s="941"/>
    </row>
    <row r="60" spans="1:25">
      <c r="A60" s="941"/>
      <c r="B60" s="908"/>
      <c r="C60" s="908"/>
      <c r="D60" s="908"/>
      <c r="E60" s="908"/>
      <c r="F60" s="908"/>
      <c r="G60" s="908"/>
      <c r="H60" s="941"/>
      <c r="I60" s="941"/>
      <c r="J60" s="941"/>
      <c r="K60" s="941"/>
      <c r="L60" s="941"/>
      <c r="M60" s="941"/>
      <c r="N60" s="941"/>
      <c r="O60" s="941"/>
      <c r="P60" s="941"/>
      <c r="Q60" s="941"/>
      <c r="R60" s="941"/>
      <c r="S60" s="941"/>
      <c r="T60" s="941"/>
      <c r="U60" s="941"/>
      <c r="V60" s="941"/>
      <c r="W60" s="941"/>
      <c r="X60" s="941"/>
      <c r="Y60" s="941"/>
    </row>
    <row r="61" spans="1:25">
      <c r="A61" s="941"/>
      <c r="B61" s="908"/>
      <c r="C61" s="908"/>
      <c r="D61" s="908"/>
      <c r="E61" s="908"/>
      <c r="F61" s="908"/>
      <c r="G61" s="908"/>
      <c r="H61" s="941"/>
      <c r="I61" s="941"/>
      <c r="J61" s="941"/>
      <c r="K61" s="941"/>
      <c r="L61" s="941"/>
      <c r="M61" s="941"/>
      <c r="N61" s="941"/>
      <c r="O61" s="941"/>
      <c r="P61" s="941"/>
      <c r="Q61" s="941"/>
      <c r="R61" s="941"/>
      <c r="S61" s="941"/>
      <c r="T61" s="941"/>
      <c r="U61" s="941"/>
      <c r="V61" s="941"/>
      <c r="W61" s="941"/>
      <c r="X61" s="941"/>
      <c r="Y61" s="941"/>
    </row>
    <row r="62" spans="1:25">
      <c r="B62" s="612"/>
      <c r="C62" s="612"/>
      <c r="D62" s="612"/>
      <c r="E62" s="612"/>
      <c r="F62" s="612"/>
      <c r="G62" s="612"/>
    </row>
    <row r="63" spans="1:25">
      <c r="B63" s="612"/>
      <c r="C63" s="612"/>
      <c r="D63" s="612"/>
      <c r="E63" s="612"/>
      <c r="F63" s="612"/>
      <c r="G63" s="612"/>
    </row>
    <row r="64" spans="1:25">
      <c r="B64" s="612"/>
      <c r="C64" s="612"/>
      <c r="D64" s="612"/>
      <c r="E64" s="612"/>
      <c r="F64" s="612"/>
      <c r="G64" s="612"/>
    </row>
    <row r="65" spans="2:7">
      <c r="B65" s="612"/>
      <c r="C65" s="612"/>
      <c r="D65" s="612"/>
      <c r="E65" s="612"/>
      <c r="F65" s="612"/>
      <c r="G65" s="612"/>
    </row>
    <row r="66" spans="2:7">
      <c r="B66" s="612"/>
      <c r="C66" s="612"/>
      <c r="D66" s="612"/>
      <c r="E66" s="612"/>
      <c r="F66" s="612"/>
      <c r="G66" s="612"/>
    </row>
    <row r="67" spans="2:7">
      <c r="B67" s="612"/>
      <c r="C67" s="612"/>
      <c r="D67" s="612"/>
      <c r="E67" s="612"/>
      <c r="F67" s="612"/>
      <c r="G67" s="612"/>
    </row>
    <row r="68" spans="2:7">
      <c r="B68" s="612"/>
      <c r="C68" s="612"/>
      <c r="D68" s="612"/>
      <c r="E68" s="612"/>
      <c r="F68" s="612"/>
      <c r="G68" s="612"/>
    </row>
    <row r="69" spans="2:7">
      <c r="B69" s="612"/>
      <c r="C69" s="612"/>
      <c r="D69" s="612"/>
      <c r="E69" s="612"/>
      <c r="F69" s="612"/>
      <c r="G69" s="612"/>
    </row>
    <row r="70" spans="2:7">
      <c r="B70" s="616"/>
      <c r="C70" s="616"/>
      <c r="D70" s="616"/>
      <c r="E70" s="616"/>
      <c r="F70" s="616"/>
      <c r="G70" s="616"/>
    </row>
    <row r="71" spans="2:7">
      <c r="B71" s="612"/>
      <c r="C71" s="612"/>
      <c r="D71" s="612"/>
      <c r="E71" s="612"/>
      <c r="F71" s="612"/>
      <c r="G71" s="612"/>
    </row>
    <row r="72" spans="2:7">
      <c r="B72" s="612"/>
      <c r="C72" s="612"/>
      <c r="D72" s="612"/>
      <c r="E72" s="612"/>
      <c r="F72" s="612"/>
      <c r="G72" s="612"/>
    </row>
    <row r="73" spans="2:7">
      <c r="B73" s="612"/>
      <c r="C73" s="612"/>
      <c r="D73" s="612"/>
      <c r="E73" s="612"/>
      <c r="F73" s="612"/>
      <c r="G73" s="612"/>
    </row>
    <row r="74" spans="2:7">
      <c r="B74" s="612"/>
      <c r="C74" s="612"/>
      <c r="D74" s="612"/>
      <c r="E74" s="612"/>
      <c r="F74" s="612"/>
      <c r="G74" s="612"/>
    </row>
    <row r="75" spans="2:7">
      <c r="B75" s="612"/>
      <c r="C75" s="612"/>
      <c r="D75" s="612"/>
      <c r="E75" s="612"/>
      <c r="F75" s="612"/>
      <c r="G75" s="612"/>
    </row>
    <row r="76" spans="2:7">
      <c r="B76" s="612"/>
      <c r="C76" s="612"/>
      <c r="D76" s="612"/>
      <c r="E76" s="612"/>
      <c r="F76" s="612"/>
      <c r="G76" s="612"/>
    </row>
    <row r="77" spans="2:7">
      <c r="B77" s="1734"/>
      <c r="C77" s="1734"/>
      <c r="D77" s="1734"/>
      <c r="E77" s="1734"/>
      <c r="F77" s="1734"/>
      <c r="G77" s="1734"/>
    </row>
    <row r="80" spans="2:7">
      <c r="G80" s="614" t="s">
        <v>1015</v>
      </c>
    </row>
  </sheetData>
  <mergeCells count="9">
    <mergeCell ref="B77:G77"/>
    <mergeCell ref="C8:G8"/>
    <mergeCell ref="P8:T8"/>
    <mergeCell ref="A51:G51"/>
    <mergeCell ref="U56:V56"/>
    <mergeCell ref="U8:Y8"/>
    <mergeCell ref="A53:Y53"/>
    <mergeCell ref="A54:Y54"/>
    <mergeCell ref="X56:Y56"/>
  </mergeCells>
  <printOptions horizontalCentered="1"/>
  <pageMargins left="0.51" right="0.47" top="0.75" bottom="0.75" header="0.3" footer="0.3"/>
  <pageSetup paperSize="9" scale="60" orientation="landscape" r:id="rId1"/>
</worksheet>
</file>

<file path=xl/worksheets/sheet6.xml><?xml version="1.0" encoding="utf-8"?>
<worksheet xmlns="http://schemas.openxmlformats.org/spreadsheetml/2006/main" xmlns:r="http://schemas.openxmlformats.org/officeDocument/2006/relationships">
  <dimension ref="A1:P68"/>
  <sheetViews>
    <sheetView topLeftCell="A55" zoomScaleNormal="100" workbookViewId="0">
      <selection activeCell="G19" sqref="G19"/>
    </sheetView>
  </sheetViews>
  <sheetFormatPr defaultRowHeight="15.75"/>
  <cols>
    <col min="1" max="1" width="8.1640625" style="156" customWidth="1"/>
    <col min="2" max="2" width="35.6640625" style="156" customWidth="1"/>
    <col min="3" max="3" width="14.33203125" style="156" hidden="1" customWidth="1"/>
    <col min="4" max="4" width="22.1640625" style="156" customWidth="1"/>
    <col min="5" max="5" width="18.6640625" style="156" customWidth="1"/>
    <col min="6" max="7" width="16.83203125" style="156" customWidth="1"/>
    <col min="8" max="8" width="17.1640625" style="156" customWidth="1"/>
    <col min="9" max="9" width="18.5" style="156" customWidth="1"/>
    <col min="10" max="10" width="42.1640625" style="156" customWidth="1"/>
    <col min="11" max="11" width="21.33203125" style="156" customWidth="1"/>
    <col min="12" max="12" width="15.1640625" style="156" customWidth="1"/>
    <col min="13" max="13" width="18" style="156" customWidth="1"/>
    <col min="14" max="16384" width="9.33203125" style="156"/>
  </cols>
  <sheetData>
    <row r="1" spans="1:16" ht="18.75">
      <c r="A1" s="841"/>
      <c r="B1" s="1648" t="s">
        <v>1367</v>
      </c>
      <c r="C1" s="634"/>
      <c r="D1" s="634"/>
      <c r="E1" s="634"/>
      <c r="F1" s="634"/>
      <c r="G1" s="634"/>
      <c r="H1" s="634"/>
      <c r="I1" s="634"/>
      <c r="J1" s="634"/>
      <c r="K1" s="634"/>
      <c r="L1" s="634"/>
      <c r="M1" s="635"/>
      <c r="N1" s="1348"/>
      <c r="O1" s="1348"/>
      <c r="P1" s="1348"/>
    </row>
    <row r="2" spans="1:16">
      <c r="A2" s="1683"/>
      <c r="B2" s="1673"/>
      <c r="C2" s="1673"/>
      <c r="D2" s="1673"/>
      <c r="E2" s="1673"/>
      <c r="F2" s="1673"/>
      <c r="G2" s="1673"/>
      <c r="H2" s="1673"/>
      <c r="I2" s="1673"/>
      <c r="J2" s="1673"/>
      <c r="K2" s="1673"/>
      <c r="L2" s="1673"/>
      <c r="M2" s="637"/>
      <c r="N2" s="1348"/>
      <c r="O2" s="1348"/>
      <c r="P2" s="1348"/>
    </row>
    <row r="3" spans="1:16">
      <c r="A3" s="1683"/>
      <c r="B3" s="1768" t="s">
        <v>895</v>
      </c>
      <c r="C3" s="1768"/>
      <c r="D3" s="1768"/>
      <c r="E3" s="1673" t="s">
        <v>841</v>
      </c>
      <c r="F3" s="1673"/>
      <c r="G3" s="1673"/>
      <c r="H3" s="1673"/>
      <c r="I3" s="811"/>
      <c r="J3" s="1673"/>
      <c r="K3" s="1673"/>
      <c r="L3" s="1673"/>
      <c r="M3" s="637"/>
      <c r="N3" s="1348"/>
      <c r="O3" s="1348"/>
      <c r="P3" s="1348"/>
    </row>
    <row r="4" spans="1:16" ht="18" customHeight="1">
      <c r="A4" s="1683"/>
      <c r="B4" s="1769" t="s">
        <v>896</v>
      </c>
      <c r="C4" s="1769"/>
      <c r="D4" s="1769"/>
      <c r="E4" s="1673" t="s">
        <v>415</v>
      </c>
      <c r="F4" s="1673"/>
      <c r="G4" s="1673"/>
      <c r="H4" s="1673"/>
      <c r="I4" s="1673"/>
      <c r="J4" s="1673"/>
      <c r="K4" s="1673"/>
      <c r="L4" s="1673"/>
      <c r="M4" s="637"/>
      <c r="N4" s="1348"/>
      <c r="O4" s="1348"/>
      <c r="P4" s="1348"/>
    </row>
    <row r="5" spans="1:16">
      <c r="A5" s="1683"/>
      <c r="B5" s="1684"/>
      <c r="C5" s="1684"/>
      <c r="D5" s="1684"/>
      <c r="E5" s="1684"/>
      <c r="F5" s="1684"/>
      <c r="G5" s="1684"/>
      <c r="H5" s="1684"/>
      <c r="I5" s="1684"/>
      <c r="J5" s="1684"/>
      <c r="K5" s="1693" t="s">
        <v>835</v>
      </c>
      <c r="L5" s="1684"/>
      <c r="M5" s="1682"/>
    </row>
    <row r="6" spans="1:16">
      <c r="A6" s="543"/>
      <c r="B6" s="785"/>
      <c r="C6" s="785"/>
      <c r="D6" s="1749" t="s">
        <v>1417</v>
      </c>
      <c r="E6" s="1750"/>
      <c r="F6" s="1750"/>
      <c r="G6" s="1750"/>
      <c r="H6" s="1752"/>
      <c r="I6" s="1749" t="s">
        <v>1351</v>
      </c>
      <c r="J6" s="1750"/>
      <c r="K6" s="1750"/>
      <c r="L6" s="1750"/>
      <c r="M6" s="1751"/>
    </row>
    <row r="7" spans="1:16" ht="31.5">
      <c r="A7" s="1680" t="s">
        <v>846</v>
      </c>
      <c r="B7" s="1675" t="s">
        <v>376</v>
      </c>
      <c r="C7" s="1675" t="s">
        <v>521</v>
      </c>
      <c r="D7" s="1675" t="s">
        <v>856</v>
      </c>
      <c r="E7" s="1675" t="s">
        <v>857</v>
      </c>
      <c r="F7" s="1678" t="s">
        <v>858</v>
      </c>
      <c r="G7" s="1675" t="s">
        <v>859</v>
      </c>
      <c r="H7" s="1675" t="s">
        <v>860</v>
      </c>
      <c r="I7" s="1679" t="s">
        <v>856</v>
      </c>
      <c r="J7" s="1675" t="s">
        <v>857</v>
      </c>
      <c r="K7" s="1675" t="s">
        <v>858</v>
      </c>
      <c r="L7" s="1675" t="s">
        <v>859</v>
      </c>
      <c r="M7" s="474" t="s">
        <v>860</v>
      </c>
    </row>
    <row r="8" spans="1:16">
      <c r="A8" s="1674"/>
      <c r="B8" s="1694" t="s">
        <v>1476</v>
      </c>
      <c r="C8" s="545"/>
      <c r="D8" s="521"/>
      <c r="E8" s="521"/>
      <c r="F8" s="825"/>
      <c r="G8" s="521"/>
      <c r="H8" s="521"/>
      <c r="I8" s="1670"/>
      <c r="J8" s="235"/>
      <c r="K8" s="235"/>
      <c r="L8" s="235"/>
      <c r="M8" s="913"/>
    </row>
    <row r="9" spans="1:16">
      <c r="A9" s="1695">
        <v>1</v>
      </c>
      <c r="B9" s="1696" t="s">
        <v>410</v>
      </c>
      <c r="C9" s="739" t="s">
        <v>408</v>
      </c>
      <c r="D9" s="827">
        <f>'Form 1'!H15</f>
        <v>405.2222555035155</v>
      </c>
      <c r="E9" s="827">
        <f>'Form 1'!I15</f>
        <v>411.2651103528367</v>
      </c>
      <c r="F9" s="827">
        <f>'Form 1'!J15</f>
        <v>412.788794430564</v>
      </c>
      <c r="G9" s="827">
        <f>'Form 1'!K15</f>
        <v>415.12532782132183</v>
      </c>
      <c r="H9" s="828">
        <f>'Form 1'!L15</f>
        <v>416.83675511138483</v>
      </c>
      <c r="I9" s="828">
        <v>400.36</v>
      </c>
      <c r="J9" s="828">
        <v>400.36</v>
      </c>
      <c r="K9" s="828">
        <v>400.36</v>
      </c>
      <c r="L9" s="828">
        <v>400.36</v>
      </c>
      <c r="M9" s="914">
        <v>400.36</v>
      </c>
    </row>
    <row r="10" spans="1:16">
      <c r="A10" s="1695">
        <v>2</v>
      </c>
      <c r="B10" s="1696" t="s">
        <v>383</v>
      </c>
      <c r="C10" s="739" t="s">
        <v>748</v>
      </c>
      <c r="D10" s="827">
        <f>'Form 1'!H16</f>
        <v>418.68963457600984</v>
      </c>
      <c r="E10" s="827">
        <f>'Form 1'!I16</f>
        <v>414.87793302508368</v>
      </c>
      <c r="F10" s="827">
        <f>'Form 1'!J16</f>
        <v>374.90328950122415</v>
      </c>
      <c r="G10" s="827">
        <f>'Form 1'!K16</f>
        <v>335.92282123872343</v>
      </c>
      <c r="H10" s="828">
        <f>'Form 1'!L16</f>
        <v>295.8728546830128</v>
      </c>
      <c r="I10" s="828">
        <v>395.83</v>
      </c>
      <c r="J10" s="828">
        <v>359.24</v>
      </c>
      <c r="K10" s="828">
        <v>322.64999999999998</v>
      </c>
      <c r="L10" s="828">
        <v>286.06</v>
      </c>
      <c r="M10" s="914">
        <v>249.48</v>
      </c>
    </row>
    <row r="11" spans="1:16">
      <c r="A11" s="1695">
        <v>3</v>
      </c>
      <c r="B11" s="1696" t="s">
        <v>1064</v>
      </c>
      <c r="C11" s="739" t="s">
        <v>749</v>
      </c>
      <c r="D11" s="827">
        <f>'Form 1'!H17</f>
        <v>441.92037887244322</v>
      </c>
      <c r="E11" s="827">
        <f>'Form 1'!I17</f>
        <v>494.47080754449979</v>
      </c>
      <c r="F11" s="827">
        <f>'Form 1'!J17</f>
        <v>496.2428102714079</v>
      </c>
      <c r="G11" s="827">
        <f>'Form 1'!K17</f>
        <v>499.05172347779023</v>
      </c>
      <c r="H11" s="828">
        <f>'Form 1'!L17</f>
        <v>501.10915211794418</v>
      </c>
      <c r="I11" s="828">
        <v>436.4</v>
      </c>
      <c r="J11" s="828">
        <v>436.4</v>
      </c>
      <c r="K11" s="828">
        <v>436.4</v>
      </c>
      <c r="L11" s="828">
        <v>436.4</v>
      </c>
      <c r="M11" s="914">
        <v>436.4</v>
      </c>
    </row>
    <row r="12" spans="1:16">
      <c r="A12" s="1695">
        <v>4</v>
      </c>
      <c r="B12" s="1696" t="s">
        <v>411</v>
      </c>
      <c r="C12" s="739" t="s">
        <v>409</v>
      </c>
      <c r="D12" s="827">
        <f>'Form 1'!H18</f>
        <v>90.17719165851274</v>
      </c>
      <c r="E12" s="827">
        <f>'Form 1'!I18</f>
        <v>75.856559110034269</v>
      </c>
      <c r="F12" s="827">
        <f>'Form 1'!J18</f>
        <v>78.836071440668334</v>
      </c>
      <c r="G12" s="827">
        <f>'Form 1'!K18</f>
        <v>91.898408933165754</v>
      </c>
      <c r="H12" s="828">
        <f>'Form 1'!L18</f>
        <v>94.571471303420807</v>
      </c>
      <c r="I12" s="828">
        <v>80.400000000000006</v>
      </c>
      <c r="J12" s="828">
        <v>80.040000000000006</v>
      </c>
      <c r="K12" s="828">
        <v>79.84</v>
      </c>
      <c r="L12" s="828">
        <v>79.650000000000006</v>
      </c>
      <c r="M12" s="914">
        <v>79.63</v>
      </c>
    </row>
    <row r="13" spans="1:16">
      <c r="A13" s="1695">
        <v>5</v>
      </c>
      <c r="B13" s="1696" t="s">
        <v>412</v>
      </c>
      <c r="C13" s="739" t="s">
        <v>750</v>
      </c>
      <c r="D13" s="827">
        <f>'Form 1'!H19</f>
        <v>227.65389931199996</v>
      </c>
      <c r="E13" s="827">
        <f>'Form 1'!I19</f>
        <v>249.95072485999998</v>
      </c>
      <c r="F13" s="827">
        <f>'Form 1'!J19</f>
        <v>281.76497764699991</v>
      </c>
      <c r="G13" s="827">
        <f>'Form 1'!K19</f>
        <v>300.8</v>
      </c>
      <c r="H13" s="828">
        <f>'Form 1'!L19</f>
        <v>315.84000000000003</v>
      </c>
      <c r="I13" s="828">
        <v>204.18</v>
      </c>
      <c r="J13" s="828">
        <v>212.94</v>
      </c>
      <c r="K13" s="828">
        <v>222.08</v>
      </c>
      <c r="L13" s="828">
        <v>231.61</v>
      </c>
      <c r="M13" s="914">
        <v>241.55</v>
      </c>
    </row>
    <row r="14" spans="1:16">
      <c r="A14" s="1695">
        <v>6</v>
      </c>
      <c r="B14" s="829" t="s">
        <v>1258</v>
      </c>
      <c r="C14" s="830"/>
      <c r="D14" s="827">
        <f>'Form 1'!H20</f>
        <v>2.0976917960000003</v>
      </c>
      <c r="E14" s="827">
        <f>'Form 1'!I20</f>
        <v>5.7287601690000001</v>
      </c>
      <c r="F14" s="827">
        <f>'Form 1'!J20</f>
        <v>7.2111917730000039</v>
      </c>
      <c r="G14" s="827">
        <f>'Form 1'!K20</f>
        <v>5.0125479126666681</v>
      </c>
      <c r="H14" s="828">
        <f>'Form 1'!L20</f>
        <v>5.0125479126666681</v>
      </c>
      <c r="I14" s="828">
        <v>17.920000000000002</v>
      </c>
      <c r="J14" s="828">
        <v>17.920000000000002</v>
      </c>
      <c r="K14" s="828">
        <v>17.920000000000002</v>
      </c>
      <c r="L14" s="828">
        <v>17.920000000000002</v>
      </c>
      <c r="M14" s="914">
        <v>17.920000000000002</v>
      </c>
    </row>
    <row r="15" spans="1:16">
      <c r="A15" s="740"/>
      <c r="B15" s="1697" t="s">
        <v>413</v>
      </c>
      <c r="C15" s="832"/>
      <c r="D15" s="833">
        <f>'Form 1'!H21</f>
        <v>1581.5656681264816</v>
      </c>
      <c r="E15" s="833">
        <f>'Form 1'!I21</f>
        <v>1640.6923747234546</v>
      </c>
      <c r="F15" s="833">
        <f>'Form 1'!J21</f>
        <v>1637.3247515178643</v>
      </c>
      <c r="G15" s="833">
        <f>'Form 1'!K21</f>
        <v>1637.7857335583344</v>
      </c>
      <c r="H15" s="834">
        <f>'Form 1'!L21</f>
        <v>1619.2176853030962</v>
      </c>
      <c r="I15" s="834">
        <f>SUM(I9:I13)-I14</f>
        <v>1499.2500000000002</v>
      </c>
      <c r="J15" s="834">
        <f t="shared" ref="J15:M15" si="0">SUM(J9:J13)-J14</f>
        <v>1471.06</v>
      </c>
      <c r="K15" s="834">
        <f t="shared" si="0"/>
        <v>1443.4099999999996</v>
      </c>
      <c r="L15" s="834">
        <f t="shared" si="0"/>
        <v>1416.1600000000003</v>
      </c>
      <c r="M15" s="915">
        <f t="shared" si="0"/>
        <v>1389.4999999999998</v>
      </c>
    </row>
    <row r="16" spans="1:16" ht="17.25" customHeight="1">
      <c r="A16" s="916"/>
      <c r="B16" s="1698"/>
      <c r="C16" s="835"/>
      <c r="D16" s="836"/>
      <c r="E16" s="836"/>
      <c r="F16" s="836"/>
      <c r="G16" s="836"/>
      <c r="H16" s="836"/>
      <c r="I16" s="836"/>
      <c r="J16" s="836"/>
      <c r="K16" s="836"/>
      <c r="L16" s="836"/>
      <c r="M16" s="917"/>
    </row>
    <row r="17" spans="1:13">
      <c r="A17" s="916"/>
      <c r="B17" s="1698"/>
      <c r="C17" s="835"/>
      <c r="D17" s="836"/>
      <c r="E17" s="836"/>
      <c r="F17" s="836"/>
      <c r="G17" s="836"/>
      <c r="H17" s="836"/>
      <c r="I17" s="836"/>
      <c r="J17" s="836"/>
      <c r="K17" s="1693" t="s">
        <v>835</v>
      </c>
      <c r="L17" s="836"/>
      <c r="M17" s="917"/>
    </row>
    <row r="18" spans="1:13">
      <c r="A18" s="1753" t="s">
        <v>1249</v>
      </c>
      <c r="B18" s="1754"/>
      <c r="C18" s="1754"/>
      <c r="D18" s="1754"/>
      <c r="E18" s="1754"/>
      <c r="F18" s="1754"/>
      <c r="G18" s="1754"/>
      <c r="H18" s="1754"/>
      <c r="I18" s="1754"/>
      <c r="J18" s="1754"/>
      <c r="K18" s="1754"/>
      <c r="L18" s="1699"/>
      <c r="M18" s="1700"/>
    </row>
    <row r="19" spans="1:13" ht="47.25">
      <c r="A19" s="1686" t="s">
        <v>846</v>
      </c>
      <c r="B19" s="1681" t="s">
        <v>376</v>
      </c>
      <c r="C19" s="1684"/>
      <c r="D19" s="1681" t="s">
        <v>856</v>
      </c>
      <c r="E19" s="1681" t="s">
        <v>857</v>
      </c>
      <c r="F19" s="742" t="s">
        <v>858</v>
      </c>
      <c r="G19" s="1675" t="s">
        <v>859</v>
      </c>
      <c r="H19" s="1675" t="s">
        <v>860</v>
      </c>
      <c r="I19" s="1675" t="s">
        <v>1245</v>
      </c>
      <c r="J19" s="1681" t="s">
        <v>1256</v>
      </c>
      <c r="K19" s="1681" t="s">
        <v>1273</v>
      </c>
      <c r="L19" s="1684"/>
      <c r="M19" s="1682"/>
    </row>
    <row r="20" spans="1:13">
      <c r="A20" s="1701">
        <v>1.1000000000000001</v>
      </c>
      <c r="B20" s="1685" t="s">
        <v>410</v>
      </c>
      <c r="C20" s="1684"/>
      <c r="D20" s="827">
        <f>D9-I9</f>
        <v>4.8622555035154846</v>
      </c>
      <c r="E20" s="827">
        <f t="shared" ref="E20:H20" si="1">E9-J9</f>
        <v>10.905110352836687</v>
      </c>
      <c r="F20" s="827">
        <f t="shared" si="1"/>
        <v>12.428794430563983</v>
      </c>
      <c r="G20" s="827">
        <f t="shared" si="1"/>
        <v>14.765327821321819</v>
      </c>
      <c r="H20" s="828">
        <f t="shared" si="1"/>
        <v>16.476755111384819</v>
      </c>
      <c r="I20" s="1685" t="s">
        <v>1238</v>
      </c>
      <c r="J20" s="1685" t="s">
        <v>1250</v>
      </c>
      <c r="K20" s="828" t="s">
        <v>1251</v>
      </c>
      <c r="L20" s="1684"/>
      <c r="M20" s="1682"/>
    </row>
    <row r="21" spans="1:13" ht="31.5">
      <c r="A21" s="1701">
        <v>1.2</v>
      </c>
      <c r="B21" s="1685" t="s">
        <v>383</v>
      </c>
      <c r="C21" s="1684"/>
      <c r="D21" s="827">
        <f t="shared" ref="D21:D26" si="2">D10-I10</f>
        <v>22.859634576009853</v>
      </c>
      <c r="E21" s="827">
        <f t="shared" ref="E21:E26" si="3">E10-J10</f>
        <v>55.637933025083669</v>
      </c>
      <c r="F21" s="827">
        <f t="shared" ref="F21:F26" si="4">F10-K10</f>
        <v>52.253289501224174</v>
      </c>
      <c r="G21" s="827">
        <f t="shared" ref="G21:G26" si="5">G10-L10</f>
        <v>49.862821238723427</v>
      </c>
      <c r="H21" s="828">
        <f t="shared" ref="H21:H26" si="6">H10-M10</f>
        <v>46.392854683012814</v>
      </c>
      <c r="I21" s="1685" t="s">
        <v>1238</v>
      </c>
      <c r="J21" s="1685" t="s">
        <v>1512</v>
      </c>
      <c r="K21" s="828" t="s">
        <v>1251</v>
      </c>
      <c r="L21" s="1684"/>
      <c r="M21" s="1682"/>
    </row>
    <row r="22" spans="1:13" ht="31.5">
      <c r="A22" s="1701">
        <v>1.3</v>
      </c>
      <c r="B22" s="1507" t="s">
        <v>1064</v>
      </c>
      <c r="C22" s="1684"/>
      <c r="D22" s="827">
        <f t="shared" si="2"/>
        <v>5.5203788724432457</v>
      </c>
      <c r="E22" s="827">
        <f t="shared" si="3"/>
        <v>58.070807544499814</v>
      </c>
      <c r="F22" s="827">
        <f t="shared" si="4"/>
        <v>59.842810271407927</v>
      </c>
      <c r="G22" s="827">
        <f t="shared" si="5"/>
        <v>62.651723477790256</v>
      </c>
      <c r="H22" s="828">
        <f t="shared" si="6"/>
        <v>64.7091521179442</v>
      </c>
      <c r="I22" s="1685" t="s">
        <v>1238</v>
      </c>
      <c r="J22" s="1685" t="s">
        <v>1274</v>
      </c>
      <c r="K22" s="828" t="s">
        <v>1252</v>
      </c>
      <c r="L22" s="1684"/>
      <c r="M22" s="1682"/>
    </row>
    <row r="23" spans="1:13" ht="31.5">
      <c r="A23" s="1701">
        <v>1.4</v>
      </c>
      <c r="B23" s="1685" t="s">
        <v>411</v>
      </c>
      <c r="C23" s="1684"/>
      <c r="D23" s="827">
        <f t="shared" si="2"/>
        <v>9.7771916585127343</v>
      </c>
      <c r="E23" s="827">
        <f t="shared" si="3"/>
        <v>-4.1834408899657376</v>
      </c>
      <c r="F23" s="827">
        <f t="shared" si="4"/>
        <v>-1.0039285593316691</v>
      </c>
      <c r="G23" s="827">
        <f t="shared" si="5"/>
        <v>12.248408933165749</v>
      </c>
      <c r="H23" s="828">
        <f t="shared" si="6"/>
        <v>14.941471303420812</v>
      </c>
      <c r="I23" s="1685" t="s">
        <v>1239</v>
      </c>
      <c r="J23" s="1685" t="s">
        <v>1349</v>
      </c>
      <c r="K23" s="828" t="s">
        <v>1253</v>
      </c>
      <c r="L23" s="1684"/>
      <c r="M23" s="1682"/>
    </row>
    <row r="24" spans="1:13" ht="78.75">
      <c r="A24" s="1701">
        <v>1.5</v>
      </c>
      <c r="B24" s="1685" t="s">
        <v>412</v>
      </c>
      <c r="C24" s="1684"/>
      <c r="D24" s="827">
        <f t="shared" si="2"/>
        <v>23.473899311999958</v>
      </c>
      <c r="E24" s="827">
        <f t="shared" si="3"/>
        <v>37.010724859999982</v>
      </c>
      <c r="F24" s="827">
        <f t="shared" si="4"/>
        <v>59.684977646999897</v>
      </c>
      <c r="G24" s="827">
        <f t="shared" si="5"/>
        <v>69.19</v>
      </c>
      <c r="H24" s="828">
        <f t="shared" si="6"/>
        <v>74.29000000000002</v>
      </c>
      <c r="I24" s="1685" t="s">
        <v>1238</v>
      </c>
      <c r="J24" s="1685" t="s">
        <v>1275</v>
      </c>
      <c r="K24" s="828" t="s">
        <v>1261</v>
      </c>
      <c r="L24" s="1684"/>
      <c r="M24" s="1682"/>
    </row>
    <row r="25" spans="1:13" ht="31.5">
      <c r="A25" s="1701">
        <v>1.6</v>
      </c>
      <c r="B25" s="1685" t="s">
        <v>1258</v>
      </c>
      <c r="C25" s="1684"/>
      <c r="D25" s="827">
        <f t="shared" si="2"/>
        <v>-15.822308204000002</v>
      </c>
      <c r="E25" s="827">
        <f t="shared" si="3"/>
        <v>-12.191239831000001</v>
      </c>
      <c r="F25" s="827">
        <f t="shared" si="4"/>
        <v>-10.708808226999999</v>
      </c>
      <c r="G25" s="827">
        <f t="shared" si="5"/>
        <v>-12.907452087333333</v>
      </c>
      <c r="H25" s="828">
        <f t="shared" si="6"/>
        <v>-12.907452087333333</v>
      </c>
      <c r="I25" s="1685" t="s">
        <v>1238</v>
      </c>
      <c r="J25" s="1685" t="s">
        <v>1350</v>
      </c>
      <c r="K25" s="828" t="s">
        <v>1254</v>
      </c>
      <c r="L25" s="1684"/>
      <c r="M25" s="1682"/>
    </row>
    <row r="26" spans="1:13">
      <c r="A26" s="740"/>
      <c r="B26" s="1697" t="s">
        <v>413</v>
      </c>
      <c r="C26" s="1687"/>
      <c r="D26" s="833">
        <f t="shared" si="2"/>
        <v>82.315668126481341</v>
      </c>
      <c r="E26" s="833">
        <f t="shared" si="3"/>
        <v>169.63237472345463</v>
      </c>
      <c r="F26" s="833">
        <f t="shared" si="4"/>
        <v>193.91475151786472</v>
      </c>
      <c r="G26" s="833">
        <f t="shared" si="5"/>
        <v>221.6257335583341</v>
      </c>
      <c r="H26" s="834">
        <f t="shared" si="6"/>
        <v>229.71768530309646</v>
      </c>
      <c r="I26" s="1684"/>
      <c r="J26" s="1684"/>
      <c r="K26" s="1684"/>
      <c r="L26" s="1684"/>
      <c r="M26" s="1682"/>
    </row>
    <row r="27" spans="1:13" ht="15.75" customHeight="1">
      <c r="A27" s="1683"/>
      <c r="B27" s="1684"/>
      <c r="C27" s="1684"/>
      <c r="D27" s="1684"/>
      <c r="E27" s="1684"/>
      <c r="F27" s="1684"/>
      <c r="G27" s="1684"/>
      <c r="H27" s="1684"/>
      <c r="I27" s="1684"/>
      <c r="J27" s="1684"/>
      <c r="K27" s="1684"/>
      <c r="L27" s="1684"/>
      <c r="M27" s="1682"/>
    </row>
    <row r="28" spans="1:13">
      <c r="A28" s="1683"/>
      <c r="B28" s="1684"/>
      <c r="C28" s="1684"/>
      <c r="D28" s="1684"/>
      <c r="E28" s="1684"/>
      <c r="F28" s="1684"/>
      <c r="G28" s="1684"/>
      <c r="H28" s="1684"/>
      <c r="I28" s="1684"/>
      <c r="J28" s="1684"/>
      <c r="K28" s="1693" t="s">
        <v>835</v>
      </c>
      <c r="L28" s="1684"/>
      <c r="M28" s="1682"/>
    </row>
    <row r="29" spans="1:13" ht="19.5" customHeight="1">
      <c r="A29" s="1756" t="s">
        <v>1477</v>
      </c>
      <c r="B29" s="1757"/>
      <c r="C29" s="1757"/>
      <c r="D29" s="1757"/>
      <c r="E29" s="1757"/>
      <c r="F29" s="1757"/>
      <c r="G29" s="1757"/>
      <c r="H29" s="1757"/>
      <c r="I29" s="1757"/>
      <c r="J29" s="1757"/>
      <c r="K29" s="1758"/>
      <c r="L29" s="1684"/>
      <c r="M29" s="1682"/>
    </row>
    <row r="30" spans="1:13" ht="47.25">
      <c r="A30" s="1680" t="s">
        <v>846</v>
      </c>
      <c r="B30" s="1675" t="s">
        <v>376</v>
      </c>
      <c r="C30" s="1684"/>
      <c r="D30" s="1675" t="s">
        <v>856</v>
      </c>
      <c r="E30" s="1675" t="s">
        <v>857</v>
      </c>
      <c r="F30" s="1678" t="s">
        <v>858</v>
      </c>
      <c r="G30" s="1675" t="s">
        <v>859</v>
      </c>
      <c r="H30" s="1675" t="s">
        <v>860</v>
      </c>
      <c r="I30" s="1675" t="s">
        <v>1245</v>
      </c>
      <c r="J30" s="1675" t="s">
        <v>1256</v>
      </c>
      <c r="K30" s="1681" t="s">
        <v>1273</v>
      </c>
      <c r="L30" s="1684"/>
      <c r="M30" s="1682"/>
    </row>
    <row r="31" spans="1:13">
      <c r="A31" s="1701">
        <v>2.1</v>
      </c>
      <c r="B31" s="1685" t="s">
        <v>1247</v>
      </c>
      <c r="C31" s="1684"/>
      <c r="D31" s="828">
        <f>-'Energy Charges'!D49</f>
        <v>7.8041061000003538</v>
      </c>
      <c r="E31" s="828">
        <f>-'Energy Charges'!E49</f>
        <v>-10.342994040000121</v>
      </c>
      <c r="F31" s="828">
        <f>-'Energy Charges'!F49</f>
        <v>-8.8075649999996131</v>
      </c>
      <c r="G31" s="828">
        <f>'Energy Charges'!G49</f>
        <v>0</v>
      </c>
      <c r="H31" s="828">
        <f>'Energy Charges'!H49</f>
        <v>0</v>
      </c>
      <c r="I31" s="1685" t="s">
        <v>1239</v>
      </c>
      <c r="J31" s="1685" t="s">
        <v>1257</v>
      </c>
      <c r="K31" s="828" t="s">
        <v>1246</v>
      </c>
      <c r="L31" s="1684"/>
      <c r="M31" s="1682"/>
    </row>
    <row r="32" spans="1:13">
      <c r="A32" s="1683"/>
      <c r="B32" s="1684"/>
      <c r="C32" s="1684"/>
      <c r="D32" s="1684"/>
      <c r="E32" s="1684"/>
      <c r="F32" s="1684"/>
      <c r="G32" s="1684"/>
      <c r="H32" s="1684"/>
      <c r="I32" s="1684"/>
      <c r="J32" s="1684"/>
      <c r="K32" s="1684"/>
      <c r="L32" s="1684"/>
      <c r="M32" s="1682"/>
    </row>
    <row r="33" spans="1:13">
      <c r="A33" s="1683"/>
      <c r="B33" s="1684"/>
      <c r="C33" s="1684"/>
      <c r="D33" s="1684"/>
      <c r="E33" s="1684"/>
      <c r="F33" s="1684"/>
      <c r="G33" s="1684"/>
      <c r="H33" s="1684"/>
      <c r="I33" s="1684"/>
      <c r="J33" s="1684"/>
      <c r="K33" s="1693" t="s">
        <v>835</v>
      </c>
      <c r="L33" s="1684"/>
      <c r="M33" s="1682"/>
    </row>
    <row r="34" spans="1:13">
      <c r="A34" s="1753" t="s">
        <v>1255</v>
      </c>
      <c r="B34" s="1754"/>
      <c r="C34" s="1754"/>
      <c r="D34" s="1754"/>
      <c r="E34" s="1754"/>
      <c r="F34" s="1754"/>
      <c r="G34" s="1754"/>
      <c r="H34" s="1754"/>
      <c r="I34" s="1754"/>
      <c r="J34" s="1754"/>
      <c r="K34" s="1754"/>
      <c r="L34" s="1684"/>
      <c r="M34" s="1682"/>
    </row>
    <row r="35" spans="1:13" ht="29.25" customHeight="1">
      <c r="A35" s="1755" t="s">
        <v>846</v>
      </c>
      <c r="B35" s="1759" t="s">
        <v>690</v>
      </c>
      <c r="C35" s="1675" t="s">
        <v>554</v>
      </c>
      <c r="D35" s="1759" t="s">
        <v>856</v>
      </c>
      <c r="E35" s="1761" t="s">
        <v>857</v>
      </c>
      <c r="F35" s="1761"/>
      <c r="G35" s="1759" t="s">
        <v>858</v>
      </c>
      <c r="H35" s="1759" t="s">
        <v>859</v>
      </c>
      <c r="I35" s="1759" t="s">
        <v>860</v>
      </c>
      <c r="J35" s="1761" t="s">
        <v>1256</v>
      </c>
      <c r="K35" s="1761" t="s">
        <v>1273</v>
      </c>
      <c r="L35" s="1684"/>
      <c r="M35" s="1682"/>
    </row>
    <row r="36" spans="1:13" ht="85.5" customHeight="1">
      <c r="A36" s="1755"/>
      <c r="B36" s="1760"/>
      <c r="C36" s="1675"/>
      <c r="D36" s="1760"/>
      <c r="E36" s="1675" t="s">
        <v>1279</v>
      </c>
      <c r="F36" s="1675" t="s">
        <v>1280</v>
      </c>
      <c r="G36" s="1760"/>
      <c r="H36" s="1760"/>
      <c r="I36" s="1760"/>
      <c r="J36" s="1761"/>
      <c r="K36" s="1761"/>
      <c r="L36" s="1684"/>
      <c r="M36" s="1682"/>
    </row>
    <row r="37" spans="1:13">
      <c r="A37" s="1701">
        <v>3.1</v>
      </c>
      <c r="B37" s="1688" t="s">
        <v>544</v>
      </c>
      <c r="C37" s="1684"/>
      <c r="D37" s="837">
        <f>'Loan Refinance'!H20</f>
        <v>9.5215095577299402E-2</v>
      </c>
      <c r="E37" s="837">
        <f>'Loan Refinance'!I20</f>
        <v>0.10195915094509365</v>
      </c>
      <c r="F37" s="837">
        <f>'Loan Refinance'!J20</f>
        <v>7.1468410809095523E-2</v>
      </c>
      <c r="G37" s="837">
        <f>'Loan Refinance'!L20</f>
        <v>7.1614387149771933E-2</v>
      </c>
      <c r="H37" s="837">
        <f>'Loan Refinance'!M20</f>
        <v>7.1640404939020713E-2</v>
      </c>
      <c r="I37" s="837">
        <f>'Loan Refinance'!N20</f>
        <v>7.1645459426601055E-2</v>
      </c>
      <c r="J37" s="1765" t="s">
        <v>1276</v>
      </c>
      <c r="K37" s="1765">
        <v>12.6</v>
      </c>
      <c r="L37" s="1684"/>
      <c r="M37" s="1682"/>
    </row>
    <row r="38" spans="1:13">
      <c r="A38" s="1701">
        <v>3.2</v>
      </c>
      <c r="B38" s="1676" t="s">
        <v>691</v>
      </c>
      <c r="C38" s="1684"/>
      <c r="D38" s="1770" t="s">
        <v>1108</v>
      </c>
      <c r="E38" s="1771"/>
      <c r="F38" s="708">
        <f>'Loan Refinance'!J22</f>
        <v>3.0490740135998132E-2</v>
      </c>
      <c r="G38" s="708">
        <f>'Loan Refinance'!L22</f>
        <v>3.0344763795321722E-2</v>
      </c>
      <c r="H38" s="708">
        <f>'Loan Refinance'!M22</f>
        <v>3.0318746006072941E-2</v>
      </c>
      <c r="I38" s="708">
        <f>'Loan Refinance'!N22</f>
        <v>3.03136915184926E-2</v>
      </c>
      <c r="J38" s="1766"/>
      <c r="K38" s="1766"/>
      <c r="L38" s="1684"/>
      <c r="M38" s="1682"/>
    </row>
    <row r="39" spans="1:13">
      <c r="A39" s="1701">
        <v>3.3</v>
      </c>
      <c r="B39" s="1676" t="s">
        <v>1103</v>
      </c>
      <c r="C39" s="1684"/>
      <c r="D39" s="1770" t="s">
        <v>1108</v>
      </c>
      <c r="E39" s="1771"/>
      <c r="F39" s="1676">
        <f>'Loan Refinance'!J23</f>
        <v>52.194208686158149</v>
      </c>
      <c r="G39" s="1676">
        <f>'Loan Refinance'!L23</f>
        <v>103.04977601202225</v>
      </c>
      <c r="H39" s="1676">
        <f>'Loan Refinance'!M23</f>
        <v>91.005374599245997</v>
      </c>
      <c r="I39" s="1676">
        <f>'Loan Refinance'!N23</f>
        <v>77.328428451311183</v>
      </c>
      <c r="J39" s="1766"/>
      <c r="K39" s="1766"/>
      <c r="L39" s="1684"/>
      <c r="M39" s="1682"/>
    </row>
    <row r="40" spans="1:13" ht="30.75" customHeight="1">
      <c r="A40" s="1701">
        <v>3.4</v>
      </c>
      <c r="B40" s="1676" t="s">
        <v>1233</v>
      </c>
      <c r="C40" s="1684"/>
      <c r="D40" s="1762" t="s">
        <v>1108</v>
      </c>
      <c r="E40" s="1770">
        <f>-F39*2/3</f>
        <v>-34.79613912410543</v>
      </c>
      <c r="F40" s="1771"/>
      <c r="G40" s="1676">
        <f>-G39*2/3</f>
        <v>-68.6998506746815</v>
      </c>
      <c r="H40" s="1676">
        <f>-H39*2/3</f>
        <v>-60.670249732830662</v>
      </c>
      <c r="I40" s="1676">
        <f>-I39*2/3</f>
        <v>-51.552285634207458</v>
      </c>
      <c r="J40" s="1766"/>
      <c r="K40" s="1766"/>
      <c r="L40" s="1684"/>
      <c r="M40" s="1682"/>
    </row>
    <row r="41" spans="1:13" ht="31.5">
      <c r="A41" s="1701">
        <v>3.5</v>
      </c>
      <c r="B41" s="1676" t="s">
        <v>1234</v>
      </c>
      <c r="C41" s="1684"/>
      <c r="D41" s="1763"/>
      <c r="E41" s="1770">
        <f>'Loan Refinance'!J29</f>
        <v>77.842430199999995</v>
      </c>
      <c r="F41" s="1771"/>
      <c r="G41" s="1676">
        <v>0</v>
      </c>
      <c r="H41" s="1676">
        <v>0</v>
      </c>
      <c r="I41" s="1676">
        <v>0</v>
      </c>
      <c r="J41" s="1766"/>
      <c r="K41" s="1766"/>
      <c r="L41" s="1684"/>
      <c r="M41" s="1682"/>
    </row>
    <row r="42" spans="1:13">
      <c r="A42" s="1701">
        <v>3.6</v>
      </c>
      <c r="B42" s="1677" t="s">
        <v>1277</v>
      </c>
      <c r="C42" s="1687"/>
      <c r="D42" s="1764"/>
      <c r="E42" s="1772">
        <f>SUM(E40:F41)</f>
        <v>43.046291075894565</v>
      </c>
      <c r="F42" s="1773">
        <v>0</v>
      </c>
      <c r="G42" s="1677">
        <f>SUM(G40:G41)</f>
        <v>-68.6998506746815</v>
      </c>
      <c r="H42" s="1677">
        <f>SUM(H40:H41)</f>
        <v>-60.670249732830662</v>
      </c>
      <c r="I42" s="1677">
        <f>SUM(I40:I41)</f>
        <v>-51.552285634207458</v>
      </c>
      <c r="J42" s="1767"/>
      <c r="K42" s="1767"/>
      <c r="L42" s="1684"/>
      <c r="M42" s="1682"/>
    </row>
    <row r="43" spans="1:13">
      <c r="A43" s="1683"/>
      <c r="B43" s="1684"/>
      <c r="C43" s="1684"/>
      <c r="D43" s="1684"/>
      <c r="E43" s="1684"/>
      <c r="F43" s="1684"/>
      <c r="G43" s="1684"/>
      <c r="H43" s="1684"/>
      <c r="I43" s="1684"/>
      <c r="J43" s="1684"/>
      <c r="K43" s="1684"/>
      <c r="L43" s="1684"/>
      <c r="M43" s="1682"/>
    </row>
    <row r="44" spans="1:13">
      <c r="A44" s="916"/>
      <c r="B44" s="1698"/>
      <c r="C44" s="835"/>
      <c r="D44" s="836"/>
      <c r="E44" s="836"/>
      <c r="F44" s="836"/>
      <c r="G44" s="836"/>
      <c r="H44" s="836"/>
      <c r="I44" s="836"/>
      <c r="J44" s="836"/>
      <c r="K44" s="1693" t="s">
        <v>835</v>
      </c>
      <c r="L44" s="1684"/>
      <c r="M44" s="1682"/>
    </row>
    <row r="45" spans="1:13">
      <c r="A45" s="1753" t="s">
        <v>1324</v>
      </c>
      <c r="B45" s="1754"/>
      <c r="C45" s="1754"/>
      <c r="D45" s="1754"/>
      <c r="E45" s="1754"/>
      <c r="F45" s="1754"/>
      <c r="G45" s="1754"/>
      <c r="H45" s="1754"/>
      <c r="I45" s="1754"/>
      <c r="J45" s="1754"/>
      <c r="K45" s="1754"/>
      <c r="L45" s="1684"/>
      <c r="M45" s="1682"/>
    </row>
    <row r="46" spans="1:13" ht="47.25">
      <c r="A46" s="1686" t="s">
        <v>846</v>
      </c>
      <c r="B46" s="1681" t="s">
        <v>376</v>
      </c>
      <c r="C46" s="1684"/>
      <c r="D46" s="1681" t="s">
        <v>856</v>
      </c>
      <c r="E46" s="1681" t="s">
        <v>857</v>
      </c>
      <c r="F46" s="742" t="s">
        <v>858</v>
      </c>
      <c r="G46" s="1681" t="s">
        <v>859</v>
      </c>
      <c r="H46" s="1675" t="s">
        <v>860</v>
      </c>
      <c r="I46" s="1675" t="s">
        <v>1245</v>
      </c>
      <c r="J46" s="1681" t="s">
        <v>1256</v>
      </c>
      <c r="K46" s="1681" t="s">
        <v>1273</v>
      </c>
      <c r="L46" s="1684"/>
      <c r="M46" s="1682"/>
    </row>
    <row r="47" spans="1:13">
      <c r="A47" s="1701">
        <v>4.0999999999999996</v>
      </c>
      <c r="B47" s="1685" t="s">
        <v>1017</v>
      </c>
      <c r="C47" s="1684"/>
      <c r="D47" s="827">
        <f>Incentive!E17</f>
        <v>11.336529999999948</v>
      </c>
      <c r="E47" s="827">
        <f>Incentive!F17</f>
        <v>0</v>
      </c>
      <c r="F47" s="827">
        <f>Incentive!G17</f>
        <v>19.306949999999961</v>
      </c>
      <c r="G47" s="827">
        <v>0</v>
      </c>
      <c r="H47" s="827">
        <v>0</v>
      </c>
      <c r="I47" s="1685" t="s">
        <v>1325</v>
      </c>
      <c r="J47" s="1685" t="s">
        <v>1327</v>
      </c>
      <c r="K47" s="828">
        <v>21.4</v>
      </c>
      <c r="L47" s="1684"/>
      <c r="M47" s="1682"/>
    </row>
    <row r="48" spans="1:13" ht="31.5">
      <c r="A48" s="1701">
        <v>4.2</v>
      </c>
      <c r="B48" s="1685" t="s">
        <v>1329</v>
      </c>
      <c r="C48" s="1684"/>
      <c r="D48" s="827">
        <f>'Water charges and filling fees'!D16/100</f>
        <v>3.8049352000000005</v>
      </c>
      <c r="E48" s="827">
        <f>'Water charges and filling fees'!E16/100</f>
        <v>1.8161856000000001</v>
      </c>
      <c r="F48" s="827">
        <f>'Water charges and filling fees'!F16/100</f>
        <v>2.3151700000000002</v>
      </c>
      <c r="G48" s="827">
        <v>0</v>
      </c>
      <c r="H48" s="827">
        <v>0</v>
      </c>
      <c r="I48" s="1685" t="s">
        <v>1325</v>
      </c>
      <c r="J48" s="1685" t="s">
        <v>1328</v>
      </c>
      <c r="K48" s="828" t="s">
        <v>1326</v>
      </c>
      <c r="L48" s="1684"/>
      <c r="M48" s="1682"/>
    </row>
    <row r="49" spans="1:13">
      <c r="A49" s="1683"/>
      <c r="B49" s="1684"/>
      <c r="C49" s="1684"/>
      <c r="D49" s="1684"/>
      <c r="E49" s="1684"/>
      <c r="F49" s="1684"/>
      <c r="G49" s="1684"/>
      <c r="H49" s="1684"/>
      <c r="I49" s="1684"/>
      <c r="J49" s="1684"/>
      <c r="K49" s="1684"/>
      <c r="L49" s="1684"/>
      <c r="M49" s="1682"/>
    </row>
    <row r="50" spans="1:13">
      <c r="A50" s="1683"/>
      <c r="B50" s="1684"/>
      <c r="C50" s="1684"/>
      <c r="D50" s="1684"/>
      <c r="E50" s="1684"/>
      <c r="F50" s="1684"/>
      <c r="G50" s="1684"/>
      <c r="H50" s="1684"/>
      <c r="I50" s="1684"/>
      <c r="J50" s="1684"/>
      <c r="K50" s="1693" t="s">
        <v>835</v>
      </c>
      <c r="L50" s="1684"/>
      <c r="M50" s="1682"/>
    </row>
    <row r="51" spans="1:13">
      <c r="A51" s="1753" t="s">
        <v>1506</v>
      </c>
      <c r="B51" s="1754"/>
      <c r="C51" s="1754"/>
      <c r="D51" s="1754"/>
      <c r="E51" s="1754"/>
      <c r="F51" s="1754"/>
      <c r="G51" s="1754"/>
      <c r="H51" s="1754"/>
      <c r="I51" s="1754"/>
      <c r="J51" s="1754"/>
      <c r="K51" s="1754"/>
      <c r="L51" s="1684"/>
      <c r="M51" s="1682"/>
    </row>
    <row r="52" spans="1:13" ht="47.25">
      <c r="A52" s="1686" t="s">
        <v>846</v>
      </c>
      <c r="B52" s="1681" t="s">
        <v>376</v>
      </c>
      <c r="C52" s="838"/>
      <c r="D52" s="1681" t="s">
        <v>856</v>
      </c>
      <c r="E52" s="1681" t="s">
        <v>857</v>
      </c>
      <c r="F52" s="1681" t="s">
        <v>858</v>
      </c>
      <c r="G52" s="1681" t="s">
        <v>859</v>
      </c>
      <c r="H52" s="1681" t="s">
        <v>860</v>
      </c>
      <c r="I52" s="1681" t="s">
        <v>1245</v>
      </c>
      <c r="J52" s="1681" t="s">
        <v>1256</v>
      </c>
      <c r="K52" s="1681" t="s">
        <v>1273</v>
      </c>
      <c r="L52" s="1684"/>
      <c r="M52" s="1682"/>
    </row>
    <row r="53" spans="1:13">
      <c r="A53" s="507">
        <v>5.0999999999999996</v>
      </c>
      <c r="B53" s="343" t="s">
        <v>410</v>
      </c>
      <c r="C53" s="839" t="e">
        <f t="shared" ref="C53" si="7">#REF!</f>
        <v>#REF!</v>
      </c>
      <c r="D53" s="828">
        <f t="shared" ref="D53:E55" si="8">D20</f>
        <v>4.8622555035154846</v>
      </c>
      <c r="E53" s="828">
        <f t="shared" si="8"/>
        <v>10.905110352836687</v>
      </c>
      <c r="F53" s="828">
        <f t="shared" ref="F53:H53" si="9">F20</f>
        <v>12.428794430563983</v>
      </c>
      <c r="G53" s="828">
        <f t="shared" si="9"/>
        <v>14.765327821321819</v>
      </c>
      <c r="H53" s="828">
        <f t="shared" si="9"/>
        <v>16.476755111384819</v>
      </c>
      <c r="I53" s="1685" t="s">
        <v>1238</v>
      </c>
      <c r="J53" s="1685" t="str">
        <f t="shared" ref="J53:K57" si="10">J20</f>
        <v>Increase in Add cap</v>
      </c>
      <c r="K53" s="1685" t="str">
        <f t="shared" si="10"/>
        <v>7.19.4</v>
      </c>
      <c r="L53" s="1684"/>
      <c r="M53" s="1682"/>
    </row>
    <row r="54" spans="1:13" ht="31.5">
      <c r="A54" s="1701">
        <v>5.2</v>
      </c>
      <c r="B54" s="343" t="s">
        <v>383</v>
      </c>
      <c r="C54" s="839" t="e">
        <f t="shared" ref="C54" si="11">#REF!</f>
        <v>#REF!</v>
      </c>
      <c r="D54" s="828">
        <f t="shared" si="8"/>
        <v>22.859634576009853</v>
      </c>
      <c r="E54" s="828">
        <f t="shared" si="8"/>
        <v>55.637933025083669</v>
      </c>
      <c r="F54" s="828">
        <f t="shared" ref="F54:H56" si="12">F21</f>
        <v>52.253289501224174</v>
      </c>
      <c r="G54" s="828">
        <f t="shared" si="12"/>
        <v>49.862821238723427</v>
      </c>
      <c r="H54" s="828">
        <f t="shared" si="12"/>
        <v>46.392854683012814</v>
      </c>
      <c r="I54" s="1685" t="s">
        <v>1238</v>
      </c>
      <c r="J54" s="1685" t="str">
        <f t="shared" si="10"/>
        <v>Increase in market interest rates before refinancing and increase in add cap</v>
      </c>
      <c r="K54" s="1685" t="str">
        <f t="shared" si="10"/>
        <v>7.19.4</v>
      </c>
      <c r="L54" s="1684"/>
      <c r="M54" s="1682"/>
    </row>
    <row r="55" spans="1:13" ht="31.5">
      <c r="A55" s="507">
        <v>5.3</v>
      </c>
      <c r="B55" s="993" t="s">
        <v>1064</v>
      </c>
      <c r="C55" s="521"/>
      <c r="D55" s="828">
        <f t="shared" si="8"/>
        <v>5.5203788724432457</v>
      </c>
      <c r="E55" s="828">
        <f t="shared" si="8"/>
        <v>58.070807544499814</v>
      </c>
      <c r="F55" s="828">
        <f t="shared" si="12"/>
        <v>59.842810271407927</v>
      </c>
      <c r="G55" s="828">
        <f t="shared" si="12"/>
        <v>62.651723477790256</v>
      </c>
      <c r="H55" s="828">
        <f t="shared" si="12"/>
        <v>64.7091521179442</v>
      </c>
      <c r="I55" s="1685" t="s">
        <v>1238</v>
      </c>
      <c r="J55" s="1685" t="str">
        <f t="shared" si="10"/>
        <v>Increase in actual applicable Tax rates and increase in add cap</v>
      </c>
      <c r="K55" s="1685" t="str">
        <f t="shared" si="10"/>
        <v>7.19.4,11.3 &amp; 11.4</v>
      </c>
      <c r="L55" s="1684"/>
      <c r="M55" s="1682"/>
    </row>
    <row r="56" spans="1:13" ht="31.5">
      <c r="A56" s="1701">
        <v>5.4</v>
      </c>
      <c r="B56" s="1685" t="s">
        <v>1109</v>
      </c>
      <c r="C56" s="521"/>
      <c r="D56" s="828">
        <f>IF(D23&gt;0,D23*1/3,D23*2/3)</f>
        <v>3.2590638861709116</v>
      </c>
      <c r="E56" s="828">
        <f t="shared" ref="E56:F56" si="13">IF(E23&gt;0,E23*1/3,E23*2/3)</f>
        <v>-2.7889605933104917</v>
      </c>
      <c r="F56" s="828">
        <f t="shared" si="13"/>
        <v>-0.66928570622111272</v>
      </c>
      <c r="G56" s="828">
        <f t="shared" si="12"/>
        <v>12.248408933165749</v>
      </c>
      <c r="H56" s="828">
        <f t="shared" si="12"/>
        <v>14.941471303420812</v>
      </c>
      <c r="I56" s="1685" t="s">
        <v>1239</v>
      </c>
      <c r="J56" s="1685" t="str">
        <f t="shared" si="10"/>
        <v xml:space="preserve">Changed due to variation in SBI MCLR </v>
      </c>
      <c r="K56" s="1685" t="str">
        <f t="shared" si="10"/>
        <v>6.7.4</v>
      </c>
      <c r="L56" s="1684"/>
      <c r="M56" s="1682"/>
    </row>
    <row r="57" spans="1:13" ht="78.75">
      <c r="A57" s="507">
        <v>5.5</v>
      </c>
      <c r="B57" s="343" t="s">
        <v>412</v>
      </c>
      <c r="C57" s="521"/>
      <c r="D57" s="828">
        <f>D24</f>
        <v>23.473899311999958</v>
      </c>
      <c r="E57" s="828">
        <f>E24</f>
        <v>37.010724859999982</v>
      </c>
      <c r="F57" s="828">
        <f t="shared" ref="F57:H57" si="14">F24</f>
        <v>59.684977646999897</v>
      </c>
      <c r="G57" s="828">
        <f t="shared" si="14"/>
        <v>69.19</v>
      </c>
      <c r="H57" s="828">
        <f t="shared" si="14"/>
        <v>74.29000000000002</v>
      </c>
      <c r="I57" s="1685" t="s">
        <v>1238</v>
      </c>
      <c r="J57" s="1685" t="str">
        <f t="shared" si="10"/>
        <v>Prayed for relaxation of clause 6.7.5 and to include O&amp;M expenses as uncontrollable in accordance with the regulation and Increased due to variation in WPI,CPI</v>
      </c>
      <c r="K57" s="1685" t="str">
        <f t="shared" si="10"/>
        <v>3.12.5 &amp; 26.4</v>
      </c>
      <c r="L57" s="1684"/>
      <c r="M57" s="1682"/>
    </row>
    <row r="58" spans="1:13">
      <c r="A58" s="507">
        <v>5.6</v>
      </c>
      <c r="B58" s="343" t="s">
        <v>1248</v>
      </c>
      <c r="C58" s="235"/>
      <c r="D58" s="828">
        <f>IF(D31&gt;0,D31*1/3,D31*2/3)</f>
        <v>2.6013687000001178</v>
      </c>
      <c r="E58" s="828">
        <f t="shared" ref="E58:H58" si="15">IF(E31&gt;0,E31*1/3,E31*2/3)</f>
        <v>-6.8953293600000807</v>
      </c>
      <c r="F58" s="828">
        <f t="shared" si="15"/>
        <v>-5.8717099999997417</v>
      </c>
      <c r="G58" s="828">
        <f t="shared" si="15"/>
        <v>0</v>
      </c>
      <c r="H58" s="828">
        <f t="shared" si="15"/>
        <v>0</v>
      </c>
      <c r="I58" s="1685" t="s">
        <v>1239</v>
      </c>
      <c r="J58" s="1685" t="str">
        <f>J31</f>
        <v>Due to efficient running of plant</v>
      </c>
      <c r="K58" s="1685" t="str">
        <f>K31</f>
        <v>6.7.3</v>
      </c>
      <c r="L58" s="1684"/>
      <c r="M58" s="1682"/>
    </row>
    <row r="59" spans="1:13" ht="31.5">
      <c r="A59" s="1701">
        <v>5.7</v>
      </c>
      <c r="B59" s="343" t="s">
        <v>1278</v>
      </c>
      <c r="C59" s="235"/>
      <c r="D59" s="828">
        <f>D42</f>
        <v>0</v>
      </c>
      <c r="E59" s="828">
        <f>E42</f>
        <v>43.046291075894565</v>
      </c>
      <c r="F59" s="828">
        <f>G42</f>
        <v>-68.6998506746815</v>
      </c>
      <c r="G59" s="828">
        <f>H42</f>
        <v>-60.670249732830662</v>
      </c>
      <c r="H59" s="828">
        <f>I42</f>
        <v>-51.552285634207458</v>
      </c>
      <c r="I59" s="1685" t="s">
        <v>1238</v>
      </c>
      <c r="J59" s="1685" t="str">
        <f>J37</f>
        <v xml:space="preserve">Refinancing of loan resulted in net savings of interest </v>
      </c>
      <c r="K59" s="1685">
        <f>K37</f>
        <v>12.6</v>
      </c>
      <c r="L59" s="1684"/>
      <c r="M59" s="1682"/>
    </row>
    <row r="60" spans="1:13">
      <c r="A60" s="1701">
        <v>5.8</v>
      </c>
      <c r="B60" s="343" t="s">
        <v>1017</v>
      </c>
      <c r="C60" s="235"/>
      <c r="D60" s="828">
        <f>D47</f>
        <v>11.336529999999948</v>
      </c>
      <c r="E60" s="828">
        <f t="shared" ref="E60:H60" si="16">E47</f>
        <v>0</v>
      </c>
      <c r="F60" s="828">
        <f t="shared" si="16"/>
        <v>19.306949999999961</v>
      </c>
      <c r="G60" s="828">
        <f t="shared" si="16"/>
        <v>0</v>
      </c>
      <c r="H60" s="828">
        <f t="shared" si="16"/>
        <v>0</v>
      </c>
      <c r="I60" s="1685" t="s">
        <v>1325</v>
      </c>
      <c r="J60" s="1685" t="str">
        <f>J47</f>
        <v xml:space="preserve">Actual PLF is greater than NAPLF </v>
      </c>
      <c r="K60" s="1685">
        <f>K47</f>
        <v>21.4</v>
      </c>
      <c r="L60" s="1684"/>
      <c r="M60" s="1682"/>
    </row>
    <row r="61" spans="1:13" ht="31.5">
      <c r="A61" s="1701">
        <v>5.9</v>
      </c>
      <c r="B61" s="1685" t="s">
        <v>1329</v>
      </c>
      <c r="C61" s="235"/>
      <c r="D61" s="828">
        <f>D48</f>
        <v>3.8049352000000005</v>
      </c>
      <c r="E61" s="828">
        <f t="shared" ref="E61:H61" si="17">E48</f>
        <v>1.8161856000000001</v>
      </c>
      <c r="F61" s="828">
        <f t="shared" si="17"/>
        <v>2.3151700000000002</v>
      </c>
      <c r="G61" s="828">
        <f t="shared" si="17"/>
        <v>0</v>
      </c>
      <c r="H61" s="828">
        <f t="shared" si="17"/>
        <v>0</v>
      </c>
      <c r="I61" s="1685" t="s">
        <v>1325</v>
      </c>
      <c r="J61" s="1685" t="str">
        <f>J48</f>
        <v>Actual charges paid over and bove O&amp;M charges</v>
      </c>
      <c r="K61" s="1685" t="str">
        <f>K48</f>
        <v>2.59 &amp; 19.6</v>
      </c>
      <c r="L61" s="1684"/>
      <c r="M61" s="1682"/>
    </row>
    <row r="62" spans="1:13" ht="31.5">
      <c r="A62" s="1702">
        <v>5.0999999999999996</v>
      </c>
      <c r="B62" s="343" t="s">
        <v>1258</v>
      </c>
      <c r="C62" s="521"/>
      <c r="D62" s="828">
        <f>D25</f>
        <v>-15.822308204000002</v>
      </c>
      <c r="E62" s="828">
        <f>E25</f>
        <v>-12.191239831000001</v>
      </c>
      <c r="F62" s="828">
        <f>F25</f>
        <v>-10.708808226999999</v>
      </c>
      <c r="G62" s="828">
        <f>G25</f>
        <v>-12.907452087333333</v>
      </c>
      <c r="H62" s="828">
        <f>H25</f>
        <v>-12.907452087333333</v>
      </c>
      <c r="I62" s="1685" t="s">
        <v>1238</v>
      </c>
      <c r="J62" s="1685" t="str">
        <f>J25</f>
        <v>Actual NTI is less compared to approved</v>
      </c>
      <c r="K62" s="1685" t="str">
        <f>K25</f>
        <v>6.6.6</v>
      </c>
      <c r="L62" s="1684"/>
      <c r="M62" s="1682"/>
    </row>
    <row r="63" spans="1:13">
      <c r="A63" s="507">
        <v>5.1100000000000003</v>
      </c>
      <c r="B63" s="1675" t="s">
        <v>1260</v>
      </c>
      <c r="C63" s="1689"/>
      <c r="D63" s="834">
        <f>SUM(D53:D61)-D62</f>
        <v>93.540374254139522</v>
      </c>
      <c r="E63" s="834">
        <f t="shared" ref="E63:H63" si="18">SUM(E53:E61)-E62</f>
        <v>208.99400233600414</v>
      </c>
      <c r="F63" s="834">
        <f t="shared" si="18"/>
        <v>141.29995369629356</v>
      </c>
      <c r="G63" s="834">
        <f t="shared" si="18"/>
        <v>160.95548382550393</v>
      </c>
      <c r="H63" s="834">
        <f t="shared" si="18"/>
        <v>178.16539966888851</v>
      </c>
      <c r="I63" s="1687"/>
      <c r="J63" s="1684"/>
      <c r="K63" s="1684"/>
      <c r="L63" s="1684"/>
      <c r="M63" s="1682"/>
    </row>
    <row r="64" spans="1:13">
      <c r="A64" s="1702">
        <v>5.12</v>
      </c>
      <c r="B64" s="1675" t="s">
        <v>1262</v>
      </c>
      <c r="C64" s="1687"/>
      <c r="D64" s="834">
        <f>'FUEL COST'!F17</f>
        <v>8671.2289999999994</v>
      </c>
      <c r="E64" s="834">
        <f>'FUEL COST'!G17</f>
        <v>6895.3293599999997</v>
      </c>
      <c r="F64" s="834">
        <f>'FUEL COST'!H17</f>
        <v>8807.5649999999987</v>
      </c>
      <c r="G64" s="834">
        <f>'FUEL COST'!I17</f>
        <v>8421.4259999999995</v>
      </c>
      <c r="H64" s="834">
        <f>'FUEL COST'!J17</f>
        <v>8444.4984000000004</v>
      </c>
      <c r="I64" s="1687"/>
      <c r="J64" s="1684"/>
      <c r="K64" s="1684"/>
      <c r="L64" s="1684"/>
      <c r="M64" s="1682"/>
    </row>
    <row r="65" spans="1:13" ht="31.5">
      <c r="A65" s="507">
        <v>5.13</v>
      </c>
      <c r="B65" s="1675" t="s">
        <v>1263</v>
      </c>
      <c r="C65" s="1684"/>
      <c r="D65" s="834">
        <f>D63/D64*10</f>
        <v>0.10787441348180232</v>
      </c>
      <c r="E65" s="834">
        <f t="shared" ref="E65:H65" si="19">E63/E64*10</f>
        <v>0.30309502479806733</v>
      </c>
      <c r="F65" s="834">
        <f t="shared" si="19"/>
        <v>0.16043021390849069</v>
      </c>
      <c r="G65" s="834">
        <f t="shared" si="19"/>
        <v>0.19112616298653451</v>
      </c>
      <c r="H65" s="834">
        <f t="shared" si="19"/>
        <v>0.21098399363648229</v>
      </c>
      <c r="I65" s="1684"/>
      <c r="J65" s="1684"/>
      <c r="K65" s="1684"/>
      <c r="L65" s="1684"/>
      <c r="M65" s="1682"/>
    </row>
    <row r="66" spans="1:13">
      <c r="A66" s="1683"/>
      <c r="B66" s="1684"/>
      <c r="C66" s="1684"/>
      <c r="D66" s="1684"/>
      <c r="E66" s="1684"/>
      <c r="F66" s="1684"/>
      <c r="G66" s="1684"/>
      <c r="H66" s="1684"/>
      <c r="I66" s="1684"/>
      <c r="J66" s="1684"/>
      <c r="K66" s="1684"/>
      <c r="L66" s="1684"/>
      <c r="M66" s="1682"/>
    </row>
    <row r="67" spans="1:13" ht="71.25" customHeight="1">
      <c r="A67" s="1723" t="s">
        <v>1502</v>
      </c>
      <c r="B67" s="1724"/>
      <c r="C67" s="1724"/>
      <c r="D67" s="1724"/>
      <c r="E67" s="1724"/>
      <c r="F67" s="1724"/>
      <c r="G67" s="1724"/>
      <c r="H67" s="1724"/>
      <c r="I67" s="1724"/>
      <c r="J67" s="1724"/>
      <c r="K67" s="1724"/>
      <c r="L67" s="1684"/>
      <c r="M67" s="1682"/>
    </row>
    <row r="68" spans="1:13" ht="16.5" thickBot="1">
      <c r="A68" s="882"/>
      <c r="B68" s="883"/>
      <c r="C68" s="883"/>
      <c r="D68" s="883"/>
      <c r="E68" s="883"/>
      <c r="F68" s="883"/>
      <c r="G68" s="883"/>
      <c r="H68" s="883"/>
      <c r="I68" s="883"/>
      <c r="J68" s="883"/>
      <c r="K68" s="1748" t="s">
        <v>700</v>
      </c>
      <c r="L68" s="1748"/>
      <c r="M68" s="884"/>
    </row>
  </sheetData>
  <mergeCells count="28">
    <mergeCell ref="B3:D3"/>
    <mergeCell ref="B4:D4"/>
    <mergeCell ref="A45:K45"/>
    <mergeCell ref="A51:K51"/>
    <mergeCell ref="K37:K42"/>
    <mergeCell ref="J35:J36"/>
    <mergeCell ref="K35:K36"/>
    <mergeCell ref="E41:F41"/>
    <mergeCell ref="E42:F42"/>
    <mergeCell ref="D39:E39"/>
    <mergeCell ref="D38:E38"/>
    <mergeCell ref="E40:F40"/>
    <mergeCell ref="K68:L68"/>
    <mergeCell ref="I6:M6"/>
    <mergeCell ref="D6:H6"/>
    <mergeCell ref="A18:K18"/>
    <mergeCell ref="A35:A36"/>
    <mergeCell ref="A29:K29"/>
    <mergeCell ref="G35:G36"/>
    <mergeCell ref="H35:H36"/>
    <mergeCell ref="I35:I36"/>
    <mergeCell ref="B35:B36"/>
    <mergeCell ref="D35:D36"/>
    <mergeCell ref="E35:F35"/>
    <mergeCell ref="A34:K34"/>
    <mergeCell ref="D40:D42"/>
    <mergeCell ref="J37:J42"/>
    <mergeCell ref="A67:K67"/>
  </mergeCells>
  <printOptions horizontalCentered="1"/>
  <pageMargins left="0.56000000000000005" right="0.42" top="0.31" bottom="0.31" header="0.3" footer="0.3"/>
  <pageSetup paperSize="9" scale="55" fitToHeight="3" orientation="landscape" r:id="rId1"/>
  <ignoredErrors>
    <ignoredError sqref="D56 E56:F56" formula="1"/>
  </ignoredErrors>
</worksheet>
</file>

<file path=xl/worksheets/sheet7.xml><?xml version="1.0" encoding="utf-8"?>
<worksheet xmlns="http://schemas.openxmlformats.org/spreadsheetml/2006/main" xmlns:r="http://schemas.openxmlformats.org/officeDocument/2006/relationships">
  <sheetPr>
    <pageSetUpPr fitToPage="1"/>
  </sheetPr>
  <dimension ref="A1:E32"/>
  <sheetViews>
    <sheetView zoomScale="112" zoomScaleNormal="112" workbookViewId="0">
      <selection activeCell="D18" sqref="D18:E18"/>
    </sheetView>
  </sheetViews>
  <sheetFormatPr defaultColWidth="9.33203125" defaultRowHeight="15.75"/>
  <cols>
    <col min="1" max="1" width="42.5" style="1469" customWidth="1"/>
    <col min="2" max="2" width="15.5" style="1469" customWidth="1"/>
    <col min="3" max="3" width="12" style="1469" customWidth="1"/>
    <col min="4" max="4" width="14.33203125" style="1469" customWidth="1"/>
    <col min="5" max="5" width="29.33203125" style="1469" customWidth="1"/>
    <col min="6" max="16384" width="9.33203125" style="1469"/>
  </cols>
  <sheetData>
    <row r="1" spans="1:5" ht="16.5" thickBot="1"/>
    <row r="2" spans="1:5">
      <c r="A2" s="1465"/>
      <c r="B2" s="1466"/>
      <c r="C2" s="1466"/>
      <c r="D2" s="1466"/>
      <c r="E2" s="1467" t="s">
        <v>372</v>
      </c>
    </row>
    <row r="3" spans="1:5">
      <c r="A3" s="1468"/>
      <c r="E3" s="1378" t="s">
        <v>440</v>
      </c>
    </row>
    <row r="4" spans="1:5">
      <c r="A4" s="1790" t="s">
        <v>441</v>
      </c>
      <c r="B4" s="1791"/>
      <c r="C4" s="1791"/>
      <c r="D4" s="1791"/>
      <c r="E4" s="1792"/>
    </row>
    <row r="5" spans="1:5">
      <c r="A5" s="1776"/>
      <c r="B5" s="1777"/>
      <c r="C5" s="1777"/>
      <c r="D5" s="1777"/>
      <c r="E5" s="1778"/>
    </row>
    <row r="6" spans="1:5" ht="28.5" customHeight="1">
      <c r="A6" s="1470" t="s">
        <v>869</v>
      </c>
      <c r="B6" s="1774" t="s">
        <v>417</v>
      </c>
      <c r="C6" s="1774"/>
      <c r="D6" s="1774"/>
      <c r="E6" s="1775"/>
    </row>
    <row r="7" spans="1:5">
      <c r="A7" s="1470" t="s">
        <v>870</v>
      </c>
      <c r="B7" s="1774" t="s">
        <v>415</v>
      </c>
      <c r="C7" s="1774"/>
      <c r="D7" s="1774"/>
      <c r="E7" s="1775"/>
    </row>
    <row r="8" spans="1:5" ht="42.75" customHeight="1">
      <c r="A8" s="1470" t="s">
        <v>1418</v>
      </c>
      <c r="B8" s="1774" t="s">
        <v>418</v>
      </c>
      <c r="C8" s="1774"/>
      <c r="D8" s="1774"/>
      <c r="E8" s="1775"/>
    </row>
    <row r="9" spans="1:5">
      <c r="A9" s="1470" t="s">
        <v>419</v>
      </c>
      <c r="B9" s="1779" t="s">
        <v>310</v>
      </c>
      <c r="C9" s="1779"/>
      <c r="D9" s="1779"/>
      <c r="E9" s="1780"/>
    </row>
    <row r="10" spans="1:5" ht="18.75">
      <c r="A10" s="1470" t="s">
        <v>1419</v>
      </c>
      <c r="B10" s="1774" t="s">
        <v>421</v>
      </c>
      <c r="C10" s="1774"/>
      <c r="D10" s="1774"/>
      <c r="E10" s="1775"/>
    </row>
    <row r="11" spans="1:5" ht="18.75">
      <c r="A11" s="1470" t="s">
        <v>1420</v>
      </c>
      <c r="B11" s="1779" t="s">
        <v>310</v>
      </c>
      <c r="C11" s="1779"/>
      <c r="D11" s="1779"/>
      <c r="E11" s="1780"/>
    </row>
    <row r="12" spans="1:5" ht="39.75" customHeight="1">
      <c r="A12" s="1470" t="s">
        <v>1421</v>
      </c>
      <c r="B12" s="1774" t="s">
        <v>422</v>
      </c>
      <c r="C12" s="1774"/>
      <c r="D12" s="1774"/>
      <c r="E12" s="1775"/>
    </row>
    <row r="13" spans="1:5">
      <c r="A13" s="1470" t="s">
        <v>423</v>
      </c>
      <c r="B13" s="1779" t="s">
        <v>420</v>
      </c>
      <c r="C13" s="1779"/>
      <c r="D13" s="1779"/>
      <c r="E13" s="1780"/>
    </row>
    <row r="14" spans="1:5" ht="31.5">
      <c r="A14" s="1781" t="s">
        <v>1422</v>
      </c>
      <c r="B14" s="1363" t="s">
        <v>424</v>
      </c>
      <c r="C14" s="1782" t="s">
        <v>425</v>
      </c>
      <c r="D14" s="1782"/>
      <c r="E14" s="1471" t="s">
        <v>426</v>
      </c>
    </row>
    <row r="15" spans="1:5" ht="35.25" customHeight="1">
      <c r="A15" s="1781"/>
      <c r="B15" s="1388" t="s">
        <v>442</v>
      </c>
      <c r="C15" s="1783" t="s">
        <v>427</v>
      </c>
      <c r="D15" s="1783"/>
      <c r="E15" s="1472" t="s">
        <v>428</v>
      </c>
    </row>
    <row r="16" spans="1:5">
      <c r="A16" s="1470" t="s">
        <v>429</v>
      </c>
      <c r="B16" s="1782" t="s">
        <v>430</v>
      </c>
      <c r="C16" s="1782"/>
      <c r="D16" s="1782" t="s">
        <v>431</v>
      </c>
      <c r="E16" s="1784"/>
    </row>
    <row r="17" spans="1:5">
      <c r="A17" s="1473" t="s">
        <v>432</v>
      </c>
      <c r="B17" s="1785" t="s">
        <v>433</v>
      </c>
      <c r="C17" s="1785"/>
      <c r="D17" s="1785" t="s">
        <v>433</v>
      </c>
      <c r="E17" s="1786"/>
    </row>
    <row r="18" spans="1:5" ht="28.5" customHeight="1">
      <c r="A18" s="1473" t="s">
        <v>434</v>
      </c>
      <c r="B18" s="1785" t="s">
        <v>443</v>
      </c>
      <c r="C18" s="1785"/>
      <c r="D18" s="1785" t="s">
        <v>444</v>
      </c>
      <c r="E18" s="1786"/>
    </row>
    <row r="19" spans="1:5" ht="28.5" customHeight="1">
      <c r="A19" s="1473" t="s">
        <v>435</v>
      </c>
      <c r="B19" s="1785" t="s">
        <v>436</v>
      </c>
      <c r="C19" s="1785"/>
      <c r="D19" s="1785" t="s">
        <v>436</v>
      </c>
      <c r="E19" s="1786"/>
    </row>
    <row r="20" spans="1:5" ht="57" customHeight="1">
      <c r="A20" s="1473" t="s">
        <v>1423</v>
      </c>
      <c r="B20" s="1785" t="s">
        <v>437</v>
      </c>
      <c r="C20" s="1785"/>
      <c r="D20" s="1785" t="s">
        <v>437</v>
      </c>
      <c r="E20" s="1786"/>
    </row>
    <row r="21" spans="1:5" ht="31.5">
      <c r="A21" s="1473" t="s">
        <v>438</v>
      </c>
      <c r="B21" s="1785" t="s">
        <v>439</v>
      </c>
      <c r="C21" s="1785"/>
      <c r="D21" s="1785" t="s">
        <v>439</v>
      </c>
      <c r="E21" s="1786"/>
    </row>
    <row r="22" spans="1:5">
      <c r="A22" s="1794"/>
      <c r="B22" s="1795"/>
      <c r="C22" s="1795"/>
      <c r="D22" s="1795"/>
      <c r="E22" s="1796"/>
    </row>
    <row r="23" spans="1:5" ht="50.25" customHeight="1">
      <c r="A23" s="1797" t="s">
        <v>1424</v>
      </c>
      <c r="B23" s="1798"/>
      <c r="C23" s="1798"/>
      <c r="D23" s="1798"/>
      <c r="E23" s="1799"/>
    </row>
    <row r="24" spans="1:5" ht="41.25" customHeight="1">
      <c r="A24" s="1787" t="s">
        <v>1425</v>
      </c>
      <c r="B24" s="1788"/>
      <c r="C24" s="1788"/>
      <c r="D24" s="1788"/>
      <c r="E24" s="1789"/>
    </row>
    <row r="25" spans="1:5" ht="22.15" customHeight="1">
      <c r="A25" s="1787" t="s">
        <v>1426</v>
      </c>
      <c r="B25" s="1788"/>
      <c r="C25" s="1788"/>
      <c r="D25" s="1788"/>
      <c r="E25" s="1789"/>
    </row>
    <row r="26" spans="1:5" ht="25.9" customHeight="1">
      <c r="A26" s="1787" t="s">
        <v>1427</v>
      </c>
      <c r="B26" s="1788"/>
      <c r="C26" s="1788"/>
      <c r="D26" s="1788"/>
      <c r="E26" s="1789"/>
    </row>
    <row r="27" spans="1:5" ht="21.75" customHeight="1">
      <c r="A27" s="1787" t="s">
        <v>1428</v>
      </c>
      <c r="B27" s="1788"/>
      <c r="C27" s="1788"/>
      <c r="D27" s="1788"/>
      <c r="E27" s="1789"/>
    </row>
    <row r="28" spans="1:5" ht="36.75" customHeight="1">
      <c r="A28" s="1787" t="s">
        <v>1429</v>
      </c>
      <c r="B28" s="1788"/>
      <c r="C28" s="1788"/>
      <c r="D28" s="1788"/>
      <c r="E28" s="1789"/>
    </row>
    <row r="29" spans="1:5" ht="49.5" customHeight="1">
      <c r="A29" s="1787" t="s">
        <v>1430</v>
      </c>
      <c r="B29" s="1788"/>
      <c r="C29" s="1788"/>
      <c r="D29" s="1788"/>
      <c r="E29" s="1789"/>
    </row>
    <row r="30" spans="1:5">
      <c r="A30" s="1468"/>
      <c r="E30" s="1474"/>
    </row>
    <row r="31" spans="1:5">
      <c r="A31" s="1468"/>
      <c r="E31" s="1474"/>
    </row>
    <row r="32" spans="1:5" ht="16.5" thickBot="1">
      <c r="A32" s="1475"/>
      <c r="B32" s="1476"/>
      <c r="C32" s="1476"/>
      <c r="D32" s="1748" t="s">
        <v>700</v>
      </c>
      <c r="E32" s="1793"/>
    </row>
  </sheetData>
  <mergeCells count="34">
    <mergeCell ref="A28:E28"/>
    <mergeCell ref="A29:E29"/>
    <mergeCell ref="A4:E4"/>
    <mergeCell ref="D32:E32"/>
    <mergeCell ref="A22:E22"/>
    <mergeCell ref="A23:E23"/>
    <mergeCell ref="A24:E24"/>
    <mergeCell ref="A25:E25"/>
    <mergeCell ref="A26:E26"/>
    <mergeCell ref="A27:E27"/>
    <mergeCell ref="B19:C19"/>
    <mergeCell ref="D19:E19"/>
    <mergeCell ref="B20:C20"/>
    <mergeCell ref="D20:E20"/>
    <mergeCell ref="B21:C21"/>
    <mergeCell ref="D21:E21"/>
    <mergeCell ref="B16:C16"/>
    <mergeCell ref="D16:E16"/>
    <mergeCell ref="B17:C17"/>
    <mergeCell ref="D17:E17"/>
    <mergeCell ref="B18:C18"/>
    <mergeCell ref="D18:E18"/>
    <mergeCell ref="B11:E11"/>
    <mergeCell ref="B12:E12"/>
    <mergeCell ref="B13:E13"/>
    <mergeCell ref="A14:A15"/>
    <mergeCell ref="C14:D14"/>
    <mergeCell ref="C15:D15"/>
    <mergeCell ref="B10:E10"/>
    <mergeCell ref="A5:E5"/>
    <mergeCell ref="B6:E6"/>
    <mergeCell ref="B7:E7"/>
    <mergeCell ref="B8:E8"/>
    <mergeCell ref="B9:E9"/>
  </mergeCells>
  <pageMargins left="0.7" right="0.7" top="0.75" bottom="0.75" header="0.3" footer="0.3"/>
  <pageSetup paperSize="9" scale="86" orientation="portrait" verticalDpi="4294967295" r:id="rId1"/>
</worksheet>
</file>

<file path=xl/worksheets/sheet8.xml><?xml version="1.0" encoding="utf-8"?>
<worksheet xmlns="http://schemas.openxmlformats.org/spreadsheetml/2006/main" xmlns:r="http://schemas.openxmlformats.org/officeDocument/2006/relationships">
  <sheetPr>
    <pageSetUpPr fitToPage="1"/>
  </sheetPr>
  <dimension ref="A1:L58"/>
  <sheetViews>
    <sheetView zoomScale="115" zoomScaleNormal="115" workbookViewId="0">
      <selection activeCell="A33" sqref="A33:H33"/>
    </sheetView>
  </sheetViews>
  <sheetFormatPr defaultRowHeight="12.75"/>
  <cols>
    <col min="1" max="1" width="35.83203125" customWidth="1"/>
    <col min="2" max="2" width="14.83203125" customWidth="1"/>
    <col min="3" max="3" width="20.1640625" customWidth="1"/>
    <col min="4" max="4" width="17.33203125" customWidth="1"/>
    <col min="5" max="5" width="17" customWidth="1"/>
    <col min="6" max="6" width="17.33203125" customWidth="1"/>
    <col min="7" max="7" width="16.5" customWidth="1"/>
    <col min="8" max="8" width="17.1640625" customWidth="1"/>
    <col min="9" max="9" width="15.33203125" bestFit="1" customWidth="1"/>
  </cols>
  <sheetData>
    <row r="1" spans="1:8" ht="15.75">
      <c r="A1" s="841"/>
      <c r="B1" s="842"/>
      <c r="C1" s="842"/>
      <c r="D1" s="842"/>
      <c r="E1" s="842"/>
      <c r="F1" s="842"/>
      <c r="G1" s="843" t="s">
        <v>372</v>
      </c>
      <c r="H1" s="844"/>
    </row>
    <row r="2" spans="1:8" ht="15.75">
      <c r="A2" s="1620"/>
      <c r="B2" s="1621"/>
      <c r="C2" s="1621"/>
      <c r="D2" s="1621"/>
      <c r="E2" s="1621"/>
      <c r="F2" s="1621"/>
      <c r="G2" s="1630" t="s">
        <v>416</v>
      </c>
      <c r="H2" s="1616"/>
    </row>
    <row r="3" spans="1:8" ht="18" customHeight="1">
      <c r="A3" s="1806" t="s">
        <v>777</v>
      </c>
      <c r="B3" s="1807"/>
      <c r="C3" s="1807"/>
      <c r="D3" s="1807"/>
      <c r="E3" s="1807"/>
      <c r="F3" s="1807"/>
      <c r="G3" s="1807"/>
      <c r="H3" s="1808"/>
    </row>
    <row r="4" spans="1:8" ht="15.75">
      <c r="A4" s="1614"/>
      <c r="B4" s="1615"/>
      <c r="C4" s="1615"/>
      <c r="D4" s="1621"/>
      <c r="E4" s="1621"/>
      <c r="F4" s="1621"/>
      <c r="G4" s="1621"/>
      <c r="H4" s="1616"/>
    </row>
    <row r="5" spans="1:8" ht="15.75">
      <c r="A5" s="475" t="s">
        <v>405</v>
      </c>
      <c r="B5" s="1597"/>
      <c r="C5" s="1621"/>
      <c r="D5" s="1621" t="s">
        <v>841</v>
      </c>
      <c r="E5" s="1621"/>
      <c r="F5" s="1621"/>
      <c r="G5" s="1621"/>
      <c r="H5" s="1616"/>
    </row>
    <row r="6" spans="1:8" ht="15.75">
      <c r="A6" s="475" t="s">
        <v>404</v>
      </c>
      <c r="B6" s="1598"/>
      <c r="C6" s="1621"/>
      <c r="D6" s="1621" t="s">
        <v>415</v>
      </c>
      <c r="E6" s="1621"/>
      <c r="F6" s="1621"/>
      <c r="G6" s="1621"/>
      <c r="H6" s="1616"/>
    </row>
    <row r="7" spans="1:8" ht="15.75">
      <c r="A7" s="1704"/>
      <c r="B7" s="1621"/>
      <c r="C7" s="1621"/>
      <c r="D7" s="1621"/>
      <c r="E7" s="1621"/>
      <c r="F7" s="1621"/>
      <c r="G7" s="1621"/>
      <c r="H7" s="1616"/>
    </row>
    <row r="8" spans="1:8" ht="15.75">
      <c r="A8" s="1705" t="s">
        <v>843</v>
      </c>
      <c r="B8" s="1621"/>
      <c r="C8" s="1621"/>
      <c r="D8" s="1629" t="s">
        <v>407</v>
      </c>
      <c r="E8" s="1621"/>
      <c r="F8" s="1621"/>
      <c r="G8" s="1621"/>
      <c r="H8" s="1616"/>
    </row>
    <row r="9" spans="1:8" ht="15.75">
      <c r="A9" s="1620"/>
      <c r="B9" s="1621"/>
      <c r="C9" s="1621"/>
      <c r="D9" s="1621"/>
      <c r="E9" s="1621"/>
      <c r="F9" s="1621"/>
      <c r="G9" s="1621"/>
      <c r="H9" s="1616"/>
    </row>
    <row r="10" spans="1:8" ht="15" customHeight="1">
      <c r="A10" s="1810" t="s">
        <v>376</v>
      </c>
      <c r="B10" s="1811" t="s">
        <v>350</v>
      </c>
      <c r="C10" s="1811" t="s">
        <v>887</v>
      </c>
      <c r="D10" s="1812"/>
      <c r="E10" s="1812"/>
      <c r="F10" s="1812"/>
      <c r="G10" s="1812"/>
      <c r="H10" s="1813"/>
    </row>
    <row r="11" spans="1:8" ht="52.5" customHeight="1">
      <c r="A11" s="1810"/>
      <c r="B11" s="1811"/>
      <c r="C11" s="846" t="s">
        <v>1195</v>
      </c>
      <c r="D11" s="847" t="s">
        <v>856</v>
      </c>
      <c r="E11" s="847" t="s">
        <v>857</v>
      </c>
      <c r="F11" s="848" t="s">
        <v>858</v>
      </c>
      <c r="G11" s="848" t="s">
        <v>859</v>
      </c>
      <c r="H11" s="849" t="s">
        <v>860</v>
      </c>
    </row>
    <row r="12" spans="1:8" ht="12" customHeight="1">
      <c r="A12" s="850">
        <v>-1</v>
      </c>
      <c r="B12" s="851"/>
      <c r="C12" s="852">
        <v>-2</v>
      </c>
      <c r="D12" s="852">
        <v>-3</v>
      </c>
      <c r="E12" s="852">
        <v>-4</v>
      </c>
      <c r="F12" s="852">
        <v>-5</v>
      </c>
      <c r="G12" s="852">
        <v>-6</v>
      </c>
      <c r="H12" s="1599">
        <v>-7</v>
      </c>
    </row>
    <row r="13" spans="1:8" ht="19.5" customHeight="1">
      <c r="A13" s="853" t="s">
        <v>1354</v>
      </c>
      <c r="B13" s="854" t="s">
        <v>276</v>
      </c>
      <c r="C13" s="593">
        <v>0.155</v>
      </c>
      <c r="D13" s="357">
        <f t="shared" ref="D13:E15" si="0">C13</f>
        <v>0.155</v>
      </c>
      <c r="E13" s="357">
        <f t="shared" si="0"/>
        <v>0.155</v>
      </c>
      <c r="F13" s="357">
        <f t="shared" ref="F13:H15" si="1">E13</f>
        <v>0.155</v>
      </c>
      <c r="G13" s="357">
        <f t="shared" si="1"/>
        <v>0.155</v>
      </c>
      <c r="H13" s="855">
        <f t="shared" si="1"/>
        <v>0.155</v>
      </c>
    </row>
    <row r="14" spans="1:8" ht="18" customHeight="1">
      <c r="A14" s="853" t="s">
        <v>1355</v>
      </c>
      <c r="B14" s="854" t="s">
        <v>276</v>
      </c>
      <c r="C14" s="856">
        <v>0.85</v>
      </c>
      <c r="D14" s="857">
        <f t="shared" si="0"/>
        <v>0.85</v>
      </c>
      <c r="E14" s="857">
        <f t="shared" si="0"/>
        <v>0.85</v>
      </c>
      <c r="F14" s="857">
        <f t="shared" si="1"/>
        <v>0.85</v>
      </c>
      <c r="G14" s="857">
        <f t="shared" si="1"/>
        <v>0.85</v>
      </c>
      <c r="H14" s="858">
        <f t="shared" si="1"/>
        <v>0.85</v>
      </c>
    </row>
    <row r="15" spans="1:8" ht="18.75" customHeight="1">
      <c r="A15" s="853" t="s">
        <v>1058</v>
      </c>
      <c r="B15" s="854" t="s">
        <v>276</v>
      </c>
      <c r="C15" s="856">
        <v>0.85</v>
      </c>
      <c r="D15" s="357">
        <f t="shared" si="0"/>
        <v>0.85</v>
      </c>
      <c r="E15" s="357">
        <f t="shared" si="0"/>
        <v>0.85</v>
      </c>
      <c r="F15" s="357">
        <f t="shared" si="1"/>
        <v>0.85</v>
      </c>
      <c r="G15" s="357">
        <f t="shared" si="1"/>
        <v>0.85</v>
      </c>
      <c r="H15" s="855">
        <f t="shared" si="1"/>
        <v>0.85</v>
      </c>
    </row>
    <row r="16" spans="1:8" ht="28.15" customHeight="1">
      <c r="A16" s="853" t="s">
        <v>1356</v>
      </c>
      <c r="B16" s="854" t="s">
        <v>276</v>
      </c>
      <c r="C16" s="859">
        <v>5.7500000000000002E-2</v>
      </c>
      <c r="D16" s="357">
        <f t="shared" ref="D16" si="2">C16</f>
        <v>5.7500000000000002E-2</v>
      </c>
      <c r="E16" s="357">
        <f t="shared" ref="E16" si="3">D16</f>
        <v>5.7500000000000002E-2</v>
      </c>
      <c r="F16" s="357">
        <f t="shared" ref="F16" si="4">E16</f>
        <v>5.7500000000000002E-2</v>
      </c>
      <c r="G16" s="357">
        <f t="shared" ref="G16" si="5">F16</f>
        <v>5.7500000000000002E-2</v>
      </c>
      <c r="H16" s="855">
        <f t="shared" ref="H16" si="6">G16</f>
        <v>5.7500000000000002E-2</v>
      </c>
    </row>
    <row r="17" spans="1:12" ht="21.75" customHeight="1">
      <c r="A17" s="853" t="s">
        <v>273</v>
      </c>
      <c r="B17" s="854" t="s">
        <v>932</v>
      </c>
      <c r="C17" s="493">
        <v>2303.88</v>
      </c>
      <c r="D17" s="860">
        <f t="shared" ref="D17:H18" si="7">C17</f>
        <v>2303.88</v>
      </c>
      <c r="E17" s="860">
        <f t="shared" si="7"/>
        <v>2303.88</v>
      </c>
      <c r="F17" s="860">
        <f t="shared" si="7"/>
        <v>2303.88</v>
      </c>
      <c r="G17" s="860">
        <f t="shared" si="7"/>
        <v>2303.88</v>
      </c>
      <c r="H17" s="861">
        <f t="shared" si="7"/>
        <v>2303.88</v>
      </c>
    </row>
    <row r="18" spans="1:12" ht="30.75" customHeight="1">
      <c r="A18" s="853" t="s">
        <v>1357</v>
      </c>
      <c r="B18" s="854" t="s">
        <v>278</v>
      </c>
      <c r="C18" s="862">
        <v>0.5</v>
      </c>
      <c r="D18" s="860">
        <f t="shared" si="7"/>
        <v>0.5</v>
      </c>
      <c r="E18" s="860">
        <f t="shared" si="7"/>
        <v>0.5</v>
      </c>
      <c r="F18" s="860">
        <f t="shared" si="7"/>
        <v>0.5</v>
      </c>
      <c r="G18" s="860">
        <f t="shared" si="7"/>
        <v>0.5</v>
      </c>
      <c r="H18" s="861">
        <f t="shared" si="7"/>
        <v>0.5</v>
      </c>
    </row>
    <row r="19" spans="1:12" ht="48.75" customHeight="1">
      <c r="A19" s="863" t="s">
        <v>1358</v>
      </c>
      <c r="B19" s="854" t="s">
        <v>931</v>
      </c>
      <c r="C19" s="864" t="s">
        <v>1462</v>
      </c>
      <c r="D19" s="860">
        <f>'Form 16-O&amp;M (2)'!D86</f>
        <v>227.65389931199996</v>
      </c>
      <c r="E19" s="860">
        <f>'Form 16-O&amp;M (2)'!E86</f>
        <v>249.95072485999998</v>
      </c>
      <c r="F19" s="860">
        <f>'Form 16-O&amp;M (2)'!F86</f>
        <v>281.76497764699991</v>
      </c>
      <c r="G19" s="860">
        <f>'Form 16-O&amp;M (2)'!G86</f>
        <v>300.8</v>
      </c>
      <c r="H19" s="861">
        <f>'Form 16-O&amp;M (2)'!H86</f>
        <v>315.84000000000003</v>
      </c>
      <c r="K19" s="207"/>
    </row>
    <row r="20" spans="1:12" ht="33" customHeight="1">
      <c r="A20" s="853" t="s">
        <v>926</v>
      </c>
      <c r="B20" s="854" t="s">
        <v>933</v>
      </c>
      <c r="C20" s="862">
        <v>2</v>
      </c>
      <c r="D20" s="865">
        <f>C20</f>
        <v>2</v>
      </c>
      <c r="E20" s="865">
        <f>D20</f>
        <v>2</v>
      </c>
      <c r="F20" s="865">
        <f>E20</f>
        <v>2</v>
      </c>
      <c r="G20" s="865">
        <f>F20</f>
        <v>2</v>
      </c>
      <c r="H20" s="866">
        <f>G20</f>
        <v>2</v>
      </c>
    </row>
    <row r="21" spans="1:12" ht="13.7" hidden="1" customHeight="1">
      <c r="A21" s="853" t="s">
        <v>937</v>
      </c>
      <c r="B21" s="854" t="s">
        <v>933</v>
      </c>
      <c r="C21" s="862">
        <v>1</v>
      </c>
      <c r="D21" s="865">
        <v>1</v>
      </c>
      <c r="E21" s="865">
        <v>1</v>
      </c>
      <c r="F21" s="865">
        <v>1</v>
      </c>
      <c r="G21" s="865">
        <v>1</v>
      </c>
      <c r="H21" s="866">
        <v>1</v>
      </c>
    </row>
    <row r="22" spans="1:12" ht="32.25" customHeight="1">
      <c r="A22" s="853" t="s">
        <v>927</v>
      </c>
      <c r="B22" s="854" t="s">
        <v>933</v>
      </c>
      <c r="C22" s="862">
        <v>2</v>
      </c>
      <c r="D22" s="865">
        <f t="shared" ref="D22:D27" si="8">C22</f>
        <v>2</v>
      </c>
      <c r="E22" s="865">
        <f t="shared" ref="E22:H26" si="9">D22</f>
        <v>2</v>
      </c>
      <c r="F22" s="865">
        <f t="shared" si="9"/>
        <v>2</v>
      </c>
      <c r="G22" s="865">
        <f t="shared" si="9"/>
        <v>2</v>
      </c>
      <c r="H22" s="866">
        <f t="shared" si="9"/>
        <v>2</v>
      </c>
    </row>
    <row r="23" spans="1:12" ht="14.1" hidden="1" customHeight="1">
      <c r="A23" s="867" t="s">
        <v>1359</v>
      </c>
      <c r="B23" s="854" t="s">
        <v>933</v>
      </c>
      <c r="C23" s="1625" t="s">
        <v>506</v>
      </c>
      <c r="D23" s="865" t="str">
        <f t="shared" si="8"/>
        <v>Not applicable</v>
      </c>
      <c r="E23" s="865" t="str">
        <f t="shared" si="9"/>
        <v>Not applicable</v>
      </c>
      <c r="F23" s="865" t="str">
        <f t="shared" si="9"/>
        <v>Not applicable</v>
      </c>
      <c r="G23" s="865" t="str">
        <f t="shared" si="9"/>
        <v>Not applicable</v>
      </c>
      <c r="H23" s="866" t="str">
        <f t="shared" si="9"/>
        <v>Not applicable</v>
      </c>
      <c r="K23" s="207" t="e">
        <f>#REF!*1200/100</f>
        <v>#REF!</v>
      </c>
    </row>
    <row r="24" spans="1:12" ht="13.7" hidden="1" customHeight="1">
      <c r="A24" s="867" t="s">
        <v>1360</v>
      </c>
      <c r="B24" s="854" t="s">
        <v>933</v>
      </c>
      <c r="C24" s="1625" t="s">
        <v>506</v>
      </c>
      <c r="D24" s="865" t="str">
        <f t="shared" si="8"/>
        <v>Not applicable</v>
      </c>
      <c r="E24" s="865" t="str">
        <f t="shared" si="9"/>
        <v>Not applicable</v>
      </c>
      <c r="F24" s="865" t="str">
        <f t="shared" si="9"/>
        <v>Not applicable</v>
      </c>
      <c r="G24" s="865" t="str">
        <f t="shared" si="9"/>
        <v>Not applicable</v>
      </c>
      <c r="H24" s="866" t="str">
        <f t="shared" si="9"/>
        <v>Not applicable</v>
      </c>
      <c r="K24" s="207" t="e">
        <f>K23*20%</f>
        <v>#REF!</v>
      </c>
    </row>
    <row r="25" spans="1:12" ht="31.5" customHeight="1">
      <c r="A25" s="853" t="s">
        <v>928</v>
      </c>
      <c r="B25" s="854" t="s">
        <v>933</v>
      </c>
      <c r="C25" s="862">
        <v>1</v>
      </c>
      <c r="D25" s="865">
        <f t="shared" si="8"/>
        <v>1</v>
      </c>
      <c r="E25" s="865">
        <f t="shared" si="9"/>
        <v>1</v>
      </c>
      <c r="F25" s="865">
        <f t="shared" si="9"/>
        <v>1</v>
      </c>
      <c r="G25" s="865">
        <f t="shared" si="9"/>
        <v>1</v>
      </c>
      <c r="H25" s="866">
        <f t="shared" si="9"/>
        <v>1</v>
      </c>
    </row>
    <row r="26" spans="1:12" ht="31.5" customHeight="1">
      <c r="A26" s="853" t="s">
        <v>929</v>
      </c>
      <c r="B26" s="854" t="s">
        <v>276</v>
      </c>
      <c r="C26" s="859">
        <v>0.2</v>
      </c>
      <c r="D26" s="868">
        <f t="shared" si="8"/>
        <v>0.2</v>
      </c>
      <c r="E26" s="868">
        <f t="shared" si="9"/>
        <v>0.2</v>
      </c>
      <c r="F26" s="868">
        <f t="shared" si="9"/>
        <v>0.2</v>
      </c>
      <c r="G26" s="868">
        <f t="shared" si="9"/>
        <v>0.2</v>
      </c>
      <c r="H26" s="869">
        <f t="shared" si="9"/>
        <v>0.2</v>
      </c>
    </row>
    <row r="27" spans="1:12" ht="30.75" customHeight="1">
      <c r="A27" s="853" t="s">
        <v>1463</v>
      </c>
      <c r="B27" s="870" t="s">
        <v>933</v>
      </c>
      <c r="C27" s="871">
        <v>2</v>
      </c>
      <c r="D27" s="872">
        <f t="shared" si="8"/>
        <v>2</v>
      </c>
      <c r="E27" s="872">
        <f t="shared" ref="E27:H27" si="10">D27</f>
        <v>2</v>
      </c>
      <c r="F27" s="872">
        <f t="shared" si="10"/>
        <v>2</v>
      </c>
      <c r="G27" s="872">
        <f t="shared" si="10"/>
        <v>2</v>
      </c>
      <c r="H27" s="873">
        <f t="shared" si="10"/>
        <v>2</v>
      </c>
    </row>
    <row r="28" spans="1:12" ht="64.900000000000006" customHeight="1">
      <c r="A28" s="1600" t="s">
        <v>411</v>
      </c>
      <c r="B28" s="559" t="s">
        <v>276</v>
      </c>
      <c r="C28" s="859" t="s">
        <v>1306</v>
      </c>
      <c r="D28" s="875">
        <f>C56+1.5</f>
        <v>9.6594262295081972</v>
      </c>
      <c r="E28" s="875">
        <f>E56+1.5</f>
        <v>8.5315068493150683</v>
      </c>
      <c r="F28" s="875">
        <f>G56+1.5</f>
        <v>8.5</v>
      </c>
      <c r="G28" s="875">
        <f>I56+1.5</f>
        <v>8.9660714285714285</v>
      </c>
      <c r="H28" s="986">
        <f>I48+1.5</f>
        <v>9.1999999999999993</v>
      </c>
      <c r="L28">
        <f>7.7+1.5</f>
        <v>9.1999999999999993</v>
      </c>
    </row>
    <row r="29" spans="1:12" ht="34.9" customHeight="1">
      <c r="A29" s="1600" t="s">
        <v>1361</v>
      </c>
      <c r="B29" s="559" t="s">
        <v>934</v>
      </c>
      <c r="C29" s="862" t="s">
        <v>930</v>
      </c>
      <c r="D29" s="343">
        <v>50</v>
      </c>
      <c r="E29" s="343">
        <v>50</v>
      </c>
      <c r="F29" s="343">
        <v>50</v>
      </c>
      <c r="G29" s="343">
        <v>50</v>
      </c>
      <c r="H29" s="877">
        <v>50</v>
      </c>
    </row>
    <row r="30" spans="1:12" ht="31.15" hidden="1" customHeight="1">
      <c r="A30" s="876" t="s">
        <v>936</v>
      </c>
      <c r="B30" s="343" t="s">
        <v>935</v>
      </c>
      <c r="C30" s="559" t="s">
        <v>938</v>
      </c>
      <c r="D30" s="343">
        <v>15</v>
      </c>
      <c r="E30" s="343">
        <v>15</v>
      </c>
      <c r="F30" s="343">
        <v>15</v>
      </c>
      <c r="G30" s="343">
        <v>15</v>
      </c>
      <c r="H30" s="877">
        <v>15</v>
      </c>
    </row>
    <row r="31" spans="1:12" ht="19.5" customHeight="1">
      <c r="A31" s="878"/>
      <c r="B31" s="1601"/>
      <c r="C31" s="1601"/>
      <c r="D31" s="1601"/>
      <c r="E31" s="1601"/>
      <c r="F31" s="1621"/>
      <c r="G31" s="1621"/>
      <c r="H31" s="1616"/>
    </row>
    <row r="32" spans="1:12" ht="19.5" customHeight="1">
      <c r="A32" s="879"/>
      <c r="B32" s="1612"/>
      <c r="C32" s="1612"/>
      <c r="D32" s="1612"/>
      <c r="E32" s="1612"/>
      <c r="F32" s="1612"/>
      <c r="G32" s="1612"/>
      <c r="H32" s="1613"/>
    </row>
    <row r="33" spans="1:9" ht="80.25" customHeight="1">
      <c r="A33" s="1801" t="s">
        <v>1480</v>
      </c>
      <c r="B33" s="1802"/>
      <c r="C33" s="1802"/>
      <c r="D33" s="1802"/>
      <c r="E33" s="1802"/>
      <c r="F33" s="1802"/>
      <c r="G33" s="1802"/>
      <c r="H33" s="1803"/>
    </row>
    <row r="34" spans="1:9" ht="15.75">
      <c r="A34" s="881"/>
      <c r="B34" s="1621"/>
      <c r="C34" s="1621"/>
      <c r="D34" s="1621"/>
      <c r="E34" s="1621"/>
      <c r="F34" s="1621"/>
      <c r="G34" s="1621"/>
      <c r="H34" s="1616"/>
    </row>
    <row r="35" spans="1:9" ht="15.75">
      <c r="A35" s="1620"/>
      <c r="B35" s="1621"/>
      <c r="C35" s="1621"/>
      <c r="D35" s="1621"/>
      <c r="E35" s="1621"/>
      <c r="F35" s="1621"/>
      <c r="G35" s="1621"/>
      <c r="H35" s="1616"/>
    </row>
    <row r="36" spans="1:9" ht="16.5" thickBot="1">
      <c r="A36" s="882"/>
      <c r="B36" s="883"/>
      <c r="C36" s="883"/>
      <c r="D36" s="883"/>
      <c r="E36" s="883"/>
      <c r="F36" s="1809" t="s">
        <v>700</v>
      </c>
      <c r="G36" s="1809"/>
      <c r="H36" s="884"/>
    </row>
    <row r="37" spans="1:9" ht="15.75">
      <c r="A37" s="399"/>
      <c r="B37" s="156"/>
      <c r="C37" s="156"/>
      <c r="D37" s="156"/>
      <c r="E37" s="156"/>
      <c r="F37" s="156"/>
      <c r="G37" s="156"/>
      <c r="H37" s="942"/>
    </row>
    <row r="38" spans="1:9" hidden="1"/>
    <row r="39" spans="1:9" hidden="1"/>
    <row r="40" spans="1:9" hidden="1"/>
    <row r="41" spans="1:9" ht="15" hidden="1">
      <c r="A41" s="1804" t="s">
        <v>298</v>
      </c>
      <c r="B41" s="1800" t="s">
        <v>856</v>
      </c>
      <c r="C41" s="1800"/>
      <c r="D41" s="1800" t="s">
        <v>857</v>
      </c>
      <c r="E41" s="1800"/>
      <c r="F41" s="1800" t="s">
        <v>858</v>
      </c>
      <c r="G41" s="1800"/>
      <c r="H41" s="1800" t="s">
        <v>859</v>
      </c>
      <c r="I41" s="1800"/>
    </row>
    <row r="42" spans="1:9" ht="15" hidden="1">
      <c r="A42" s="1805"/>
      <c r="B42" s="729" t="s">
        <v>1304</v>
      </c>
      <c r="C42" s="729" t="s">
        <v>1305</v>
      </c>
      <c r="D42" s="729" t="s">
        <v>1304</v>
      </c>
      <c r="E42" s="729" t="s">
        <v>1305</v>
      </c>
      <c r="F42" s="729" t="s">
        <v>1304</v>
      </c>
      <c r="G42" s="729" t="s">
        <v>1305</v>
      </c>
      <c r="H42" s="729" t="s">
        <v>1304</v>
      </c>
      <c r="I42" s="729" t="s">
        <v>1305</v>
      </c>
    </row>
    <row r="43" spans="1:9" hidden="1">
      <c r="A43" s="594" t="s">
        <v>1230</v>
      </c>
      <c r="B43" s="594">
        <v>10</v>
      </c>
      <c r="C43" s="579">
        <v>8.5500000000000007</v>
      </c>
      <c r="D43" s="594">
        <v>10</v>
      </c>
      <c r="E43" s="594">
        <v>7.4</v>
      </c>
      <c r="F43" s="594">
        <v>10</v>
      </c>
      <c r="G43" s="594">
        <v>7</v>
      </c>
      <c r="H43" s="594">
        <v>15</v>
      </c>
      <c r="I43" s="594">
        <v>7.1</v>
      </c>
    </row>
    <row r="44" spans="1:9" hidden="1">
      <c r="A44" s="594" t="s">
        <v>1308</v>
      </c>
      <c r="B44" s="594">
        <v>30</v>
      </c>
      <c r="C44" s="579">
        <v>8.5</v>
      </c>
      <c r="D44" s="594">
        <v>30</v>
      </c>
      <c r="E44" s="594">
        <v>7.25</v>
      </c>
      <c r="F44" s="594">
        <v>30</v>
      </c>
      <c r="G44" s="594">
        <v>7</v>
      </c>
      <c r="H44" s="594">
        <v>30</v>
      </c>
      <c r="I44" s="594">
        <v>7.2</v>
      </c>
    </row>
    <row r="45" spans="1:9" hidden="1">
      <c r="A45" s="594" t="s">
        <v>1309</v>
      </c>
      <c r="B45" s="594">
        <v>31</v>
      </c>
      <c r="C45" s="579">
        <v>8.4499999999999993</v>
      </c>
      <c r="D45" s="594">
        <v>31</v>
      </c>
      <c r="E45" s="594">
        <v>7</v>
      </c>
      <c r="F45" s="594">
        <v>31</v>
      </c>
      <c r="G45" s="594">
        <v>7</v>
      </c>
      <c r="H45" s="594">
        <v>31</v>
      </c>
      <c r="I45" s="594">
        <v>7.4</v>
      </c>
    </row>
    <row r="46" spans="1:9" hidden="1">
      <c r="A46" s="594" t="s">
        <v>1310</v>
      </c>
      <c r="B46" s="594">
        <v>30</v>
      </c>
      <c r="C46" s="579">
        <v>8.4499999999999993</v>
      </c>
      <c r="D46" s="594">
        <v>30</v>
      </c>
      <c r="E46" s="594">
        <v>7</v>
      </c>
      <c r="F46" s="594">
        <v>30</v>
      </c>
      <c r="G46" s="594">
        <v>7</v>
      </c>
      <c r="H46" s="594">
        <v>30</v>
      </c>
      <c r="I46" s="594">
        <v>7.5</v>
      </c>
    </row>
    <row r="47" spans="1:9" hidden="1">
      <c r="A47" s="594" t="s">
        <v>1311</v>
      </c>
      <c r="B47" s="594">
        <v>31</v>
      </c>
      <c r="C47" s="579">
        <v>8.4</v>
      </c>
      <c r="D47" s="594">
        <v>31</v>
      </c>
      <c r="E47" s="594">
        <v>7</v>
      </c>
      <c r="F47" s="594">
        <v>31</v>
      </c>
      <c r="G47" s="594">
        <v>7</v>
      </c>
      <c r="H47" s="594">
        <v>31</v>
      </c>
      <c r="I47" s="594">
        <v>7.7</v>
      </c>
    </row>
    <row r="48" spans="1:9" hidden="1">
      <c r="A48" s="594" t="s">
        <v>1312</v>
      </c>
      <c r="B48" s="594">
        <v>31</v>
      </c>
      <c r="C48" s="579">
        <v>8.25</v>
      </c>
      <c r="D48" s="594">
        <v>31</v>
      </c>
      <c r="E48" s="594">
        <v>7</v>
      </c>
      <c r="F48" s="594">
        <v>31</v>
      </c>
      <c r="G48" s="594">
        <v>7</v>
      </c>
      <c r="H48" s="594">
        <v>31</v>
      </c>
      <c r="I48" s="594">
        <v>7.7</v>
      </c>
    </row>
    <row r="49" spans="1:9" hidden="1">
      <c r="A49" s="594" t="s">
        <v>1313</v>
      </c>
      <c r="B49" s="594">
        <v>30</v>
      </c>
      <c r="C49" s="579">
        <v>8.15</v>
      </c>
      <c r="D49" s="594">
        <v>30</v>
      </c>
      <c r="E49" s="594">
        <v>7</v>
      </c>
      <c r="F49" s="594">
        <v>30</v>
      </c>
      <c r="G49" s="594">
        <v>7</v>
      </c>
      <c r="H49" s="594"/>
      <c r="I49" s="594"/>
    </row>
    <row r="50" spans="1:9" hidden="1">
      <c r="A50" s="594" t="s">
        <v>1314</v>
      </c>
      <c r="B50" s="594">
        <v>31</v>
      </c>
      <c r="C50" s="579">
        <v>8.0500000000000007</v>
      </c>
      <c r="D50" s="594">
        <v>31</v>
      </c>
      <c r="E50" s="594">
        <v>7</v>
      </c>
      <c r="F50" s="594">
        <v>31</v>
      </c>
      <c r="G50" s="594">
        <v>7</v>
      </c>
      <c r="H50" s="594"/>
      <c r="I50" s="594"/>
    </row>
    <row r="51" spans="1:9" hidden="1">
      <c r="A51" s="594" t="s">
        <v>1315</v>
      </c>
      <c r="B51" s="594">
        <v>30</v>
      </c>
      <c r="C51" s="579">
        <v>8</v>
      </c>
      <c r="D51" s="594">
        <v>30</v>
      </c>
      <c r="E51" s="594">
        <v>7</v>
      </c>
      <c r="F51" s="594">
        <v>30</v>
      </c>
      <c r="G51" s="594">
        <v>7</v>
      </c>
      <c r="H51" s="594"/>
      <c r="I51" s="594"/>
    </row>
    <row r="52" spans="1:9" hidden="1">
      <c r="A52" s="594" t="s">
        <v>1316</v>
      </c>
      <c r="B52" s="594">
        <v>31</v>
      </c>
      <c r="C52" s="579">
        <v>7.9</v>
      </c>
      <c r="D52" s="594">
        <v>31</v>
      </c>
      <c r="E52" s="594">
        <v>7</v>
      </c>
      <c r="F52" s="594">
        <v>31</v>
      </c>
      <c r="G52" s="594">
        <v>7</v>
      </c>
      <c r="H52" s="594"/>
      <c r="I52" s="594"/>
    </row>
    <row r="53" spans="1:9" hidden="1">
      <c r="A53" s="594" t="s">
        <v>1317</v>
      </c>
      <c r="B53" s="594">
        <v>31</v>
      </c>
      <c r="C53" s="579">
        <v>7.9</v>
      </c>
      <c r="D53" s="594">
        <v>31</v>
      </c>
      <c r="E53" s="594">
        <v>7</v>
      </c>
      <c r="F53" s="594">
        <v>31</v>
      </c>
      <c r="G53" s="594">
        <v>7</v>
      </c>
      <c r="H53" s="594"/>
      <c r="I53" s="594"/>
    </row>
    <row r="54" spans="1:9" hidden="1">
      <c r="A54" s="594" t="s">
        <v>1318</v>
      </c>
      <c r="B54" s="594">
        <v>29</v>
      </c>
      <c r="C54" s="579">
        <v>7.85</v>
      </c>
      <c r="D54" s="594">
        <v>28</v>
      </c>
      <c r="E54" s="594">
        <v>7</v>
      </c>
      <c r="F54" s="594">
        <v>28</v>
      </c>
      <c r="G54" s="594">
        <v>7</v>
      </c>
      <c r="H54" s="594"/>
      <c r="I54" s="594"/>
    </row>
    <row r="55" spans="1:9" hidden="1">
      <c r="A55" s="594" t="s">
        <v>1307</v>
      </c>
      <c r="B55" s="594">
        <v>21</v>
      </c>
      <c r="C55" s="579">
        <v>7.75</v>
      </c>
      <c r="D55" s="594">
        <v>21</v>
      </c>
      <c r="E55" s="594">
        <v>7</v>
      </c>
      <c r="F55" s="594">
        <v>21</v>
      </c>
      <c r="G55" s="594">
        <v>7</v>
      </c>
      <c r="H55" s="594"/>
      <c r="I55" s="594"/>
    </row>
    <row r="56" spans="1:9" ht="15" hidden="1">
      <c r="B56" s="761">
        <f>SUM(B43:B55)</f>
        <v>366</v>
      </c>
      <c r="C56" s="762">
        <f>SUMPRODUCT(B43:B55,C43:C55)/B56</f>
        <v>8.1594262295081972</v>
      </c>
      <c r="D56" s="761">
        <f>SUM(D43:D55)</f>
        <v>365</v>
      </c>
      <c r="E56" s="762">
        <f>SUMPRODUCT(D43:D55,E43:E55)/D56</f>
        <v>7.0315068493150683</v>
      </c>
      <c r="F56" s="761">
        <f>SUM(F43:F55)</f>
        <v>365</v>
      </c>
      <c r="G56" s="762">
        <f>SUMPRODUCT(F43:F55,G43:G55)/F56</f>
        <v>7</v>
      </c>
      <c r="H56" s="761">
        <f>SUM(H43:H55)</f>
        <v>168</v>
      </c>
      <c r="I56" s="762">
        <f>SUMPRODUCT(H43:H55,I43:I55)/H56</f>
        <v>7.4660714285714285</v>
      </c>
    </row>
    <row r="57" spans="1:9" hidden="1"/>
    <row r="58" spans="1:9" hidden="1"/>
  </sheetData>
  <mergeCells count="11">
    <mergeCell ref="A3:H3"/>
    <mergeCell ref="F36:G36"/>
    <mergeCell ref="A10:A11"/>
    <mergeCell ref="B10:B11"/>
    <mergeCell ref="C10:H10"/>
    <mergeCell ref="B41:C41"/>
    <mergeCell ref="D41:E41"/>
    <mergeCell ref="F41:G41"/>
    <mergeCell ref="H41:I41"/>
    <mergeCell ref="A33:H33"/>
    <mergeCell ref="A41:A42"/>
  </mergeCells>
  <pageMargins left="0.70866141732283505" right="0.70866141732283505" top="0.74803149606299202" bottom="0.74803149606299202" header="0.31496062992126" footer="0.31496062992126"/>
  <pageSetup paperSize="9" scale="62" orientation="portrait" horizontalDpi="4294967293" verticalDpi="4294967295"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F27"/>
  <sheetViews>
    <sheetView zoomScale="130" zoomScaleNormal="130" workbookViewId="0">
      <selection activeCell="H6" sqref="H6"/>
    </sheetView>
  </sheetViews>
  <sheetFormatPr defaultRowHeight="12.75"/>
  <cols>
    <col min="1" max="1" width="47.5" customWidth="1"/>
    <col min="2" max="2" width="44.5" customWidth="1"/>
  </cols>
  <sheetData>
    <row r="1" spans="1:2" ht="15.75">
      <c r="A1" s="885"/>
      <c r="B1" s="400" t="s">
        <v>761</v>
      </c>
    </row>
    <row r="2" spans="1:2" ht="15.75">
      <c r="A2" s="886"/>
      <c r="B2" s="401" t="s">
        <v>764</v>
      </c>
    </row>
    <row r="3" spans="1:2" ht="15.75">
      <c r="A3" s="886"/>
      <c r="B3" s="401"/>
    </row>
    <row r="4" spans="1:2" ht="27" customHeight="1">
      <c r="A4" s="1814" t="s">
        <v>762</v>
      </c>
      <c r="B4" s="1815"/>
    </row>
    <row r="5" spans="1:2" ht="27" customHeight="1">
      <c r="A5" s="886"/>
      <c r="B5" s="880"/>
    </row>
    <row r="6" spans="1:2" ht="31.5">
      <c r="A6" s="1706" t="str">
        <f>[6]form5A!A9</f>
        <v>Name of the Company :</v>
      </c>
      <c r="B6" s="1692" t="str">
        <f>[6]form5A!B9</f>
        <v>The Singareni Collieries Company Limited</v>
      </c>
    </row>
    <row r="7" spans="1:2" ht="7.15" customHeight="1">
      <c r="A7" s="1690"/>
      <c r="B7" s="1691"/>
    </row>
    <row r="8" spans="1:2" ht="29.25" customHeight="1">
      <c r="A8" s="1706" t="str">
        <f>[6]form5A!A11</f>
        <v>Name of the Power Station :</v>
      </c>
      <c r="B8" s="1692" t="str">
        <f>[6]form5A!B11</f>
        <v>Singareni Thermal Power Project</v>
      </c>
    </row>
    <row r="9" spans="1:2" ht="15.75">
      <c r="A9" s="886"/>
      <c r="B9" s="880"/>
    </row>
    <row r="10" spans="1:2" ht="15.75">
      <c r="A10" s="886"/>
      <c r="B10" s="880"/>
    </row>
    <row r="11" spans="1:2" ht="15" customHeight="1">
      <c r="A11" s="893" t="s">
        <v>763</v>
      </c>
      <c r="B11" s="887"/>
    </row>
    <row r="12" spans="1:2" ht="12.6" customHeight="1">
      <c r="A12" s="888"/>
      <c r="B12" s="887"/>
    </row>
    <row r="13" spans="1:2" ht="35.25" customHeight="1">
      <c r="A13" s="893" t="s">
        <v>1366</v>
      </c>
      <c r="B13" s="889">
        <v>7745.32</v>
      </c>
    </row>
    <row r="14" spans="1:2" ht="60.75" customHeight="1">
      <c r="A14" s="894" t="s">
        <v>765</v>
      </c>
      <c r="B14" s="890" t="s">
        <v>1461</v>
      </c>
    </row>
    <row r="15" spans="1:2" ht="11.45" customHeight="1">
      <c r="A15" s="888"/>
      <c r="B15" s="890"/>
    </row>
    <row r="16" spans="1:2" ht="36" customHeight="1">
      <c r="A16" s="894" t="s">
        <v>1362</v>
      </c>
      <c r="B16" s="890">
        <v>0</v>
      </c>
    </row>
    <row r="17" spans="1:6" ht="11.85" customHeight="1">
      <c r="A17" s="888"/>
      <c r="B17" s="890"/>
    </row>
    <row r="18" spans="1:6" ht="15" customHeight="1">
      <c r="A18" s="894" t="s">
        <v>1363</v>
      </c>
      <c r="B18" s="889">
        <f>B13-B16</f>
        <v>7745.32</v>
      </c>
    </row>
    <row r="19" spans="1:6" ht="12.6" customHeight="1">
      <c r="A19" s="888"/>
      <c r="B19" s="890"/>
    </row>
    <row r="20" spans="1:6" ht="33" customHeight="1">
      <c r="A20" s="894" t="s">
        <v>1364</v>
      </c>
      <c r="B20" s="890">
        <v>0</v>
      </c>
    </row>
    <row r="21" spans="1:6" ht="11.45" customHeight="1">
      <c r="A21" s="888"/>
      <c r="B21" s="890"/>
    </row>
    <row r="22" spans="1:6" ht="36.75" customHeight="1">
      <c r="A22" s="893" t="s">
        <v>766</v>
      </c>
      <c r="B22" s="889">
        <f>B18+B20</f>
        <v>7745.32</v>
      </c>
    </row>
    <row r="23" spans="1:6" ht="12.6" customHeight="1">
      <c r="A23" s="891"/>
      <c r="B23" s="892"/>
      <c r="F23" s="748"/>
    </row>
    <row r="24" spans="1:6" ht="12.6" customHeight="1">
      <c r="A24" s="972" t="s">
        <v>1014</v>
      </c>
      <c r="B24" s="892"/>
    </row>
    <row r="25" spans="1:6" ht="35.25" customHeight="1">
      <c r="A25" s="1816" t="s">
        <v>1283</v>
      </c>
      <c r="B25" s="1817"/>
    </row>
    <row r="26" spans="1:6" ht="78.75" customHeight="1">
      <c r="A26" s="1818" t="s">
        <v>1284</v>
      </c>
      <c r="B26" s="1819"/>
    </row>
    <row r="27" spans="1:6" ht="37.700000000000003" customHeight="1" thickBot="1">
      <c r="A27" s="548"/>
      <c r="B27" s="895" t="s">
        <v>1365</v>
      </c>
      <c r="E27" s="747"/>
    </row>
  </sheetData>
  <mergeCells count="3">
    <mergeCell ref="A4:B4"/>
    <mergeCell ref="A25:B25"/>
    <mergeCell ref="A26:B26"/>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46</vt:i4>
      </vt:variant>
    </vt:vector>
  </HeadingPairs>
  <TitlesOfParts>
    <vt:vector size="92" baseType="lpstr">
      <vt:lpstr>Title</vt:lpstr>
      <vt:lpstr>Index </vt:lpstr>
      <vt:lpstr>Form 1</vt:lpstr>
      <vt:lpstr>ARR-Actual</vt:lpstr>
      <vt:lpstr>ARR-projection</vt:lpstr>
      <vt:lpstr>Tariff claim</vt:lpstr>
      <vt:lpstr>Form 2</vt:lpstr>
      <vt:lpstr>Form 3</vt:lpstr>
      <vt:lpstr>Form 5</vt:lpstr>
      <vt:lpstr>Form 5B </vt:lpstr>
      <vt:lpstr>Form 6</vt:lpstr>
      <vt:lpstr>Form 7 </vt:lpstr>
      <vt:lpstr>Form-9 2019-20</vt:lpstr>
      <vt:lpstr>Form-9 2020-21</vt:lpstr>
      <vt:lpstr>Form-9 2021-22</vt:lpstr>
      <vt:lpstr>Form-11</vt:lpstr>
      <vt:lpstr>Form 5B</vt:lpstr>
      <vt:lpstr>Table 9</vt:lpstr>
      <vt:lpstr>Form 5D</vt:lpstr>
      <vt:lpstr>Table 13</vt:lpstr>
      <vt:lpstr>Depr</vt:lpstr>
      <vt:lpstr>Form 12</vt:lpstr>
      <vt:lpstr>Form 13</vt:lpstr>
      <vt:lpstr>Form 13A</vt:lpstr>
      <vt:lpstr>Form13B</vt:lpstr>
      <vt:lpstr>Form 14</vt:lpstr>
      <vt:lpstr>Form 15 Coal </vt:lpstr>
      <vt:lpstr>Form 15 oil</vt:lpstr>
      <vt:lpstr>Form 16-O&amp;M (2)</vt:lpstr>
      <vt:lpstr>Energy Charges</vt:lpstr>
      <vt:lpstr>Loan Refinance</vt:lpstr>
      <vt:lpstr>Form15 Coal </vt:lpstr>
      <vt:lpstr>Form15 OIL</vt:lpstr>
      <vt:lpstr>form5D</vt:lpstr>
      <vt:lpstr>13A sub</vt:lpstr>
      <vt:lpstr>CC_T14_old</vt:lpstr>
      <vt:lpstr>FUEL COST</vt:lpstr>
      <vt:lpstr>Incentive</vt:lpstr>
      <vt:lpstr>FGD and Nox</vt:lpstr>
      <vt:lpstr>App III -liability </vt:lpstr>
      <vt:lpstr>Water charges and filling fees</vt:lpstr>
      <vt:lpstr>App-IV input Capital cost</vt:lpstr>
      <vt:lpstr>TSERC allowance</vt:lpstr>
      <vt:lpstr>Form 5B  (2)</vt:lpstr>
      <vt:lpstr>Sheet1</vt:lpstr>
      <vt:lpstr>Sheet2</vt:lpstr>
      <vt:lpstr>'Form 12'!_Hlk1989129</vt:lpstr>
      <vt:lpstr>CC_T14_old!_Ref441831867</vt:lpstr>
      <vt:lpstr>'Form 2'!_Toc442179767</vt:lpstr>
      <vt:lpstr>'App III -liability '!_Toc442179769</vt:lpstr>
      <vt:lpstr>'Form 12'!_Toc442179769</vt:lpstr>
      <vt:lpstr>'Form 5B '!_Toc442179769</vt:lpstr>
      <vt:lpstr>'Form 5B  (2)'!_Toc442179769</vt:lpstr>
      <vt:lpstr>'TSERC allowance'!_Toc442179769</vt:lpstr>
      <vt:lpstr>'App III -liability '!Print_Area</vt:lpstr>
      <vt:lpstr>'App-IV input Capital cost'!Print_Area</vt:lpstr>
      <vt:lpstr>'ARR-Actual'!Print_Area</vt:lpstr>
      <vt:lpstr>'ARR-projection'!Print_Area</vt:lpstr>
      <vt:lpstr>'Energy Charges'!Print_Area</vt:lpstr>
      <vt:lpstr>'Form 1'!Print_Area</vt:lpstr>
      <vt:lpstr>'Form 12'!Print_Area</vt:lpstr>
      <vt:lpstr>'Form 13'!Print_Area</vt:lpstr>
      <vt:lpstr>'Form 13A'!Print_Area</vt:lpstr>
      <vt:lpstr>'Form 14'!Print_Area</vt:lpstr>
      <vt:lpstr>'Form 15 Coal '!Print_Area</vt:lpstr>
      <vt:lpstr>'Form 15 oil'!Print_Area</vt:lpstr>
      <vt:lpstr>'Form 16-O&amp;M (2)'!Print_Area</vt:lpstr>
      <vt:lpstr>'Form 3'!Print_Area</vt:lpstr>
      <vt:lpstr>'Form 5'!Print_Area</vt:lpstr>
      <vt:lpstr>'Form 5B '!Print_Area</vt:lpstr>
      <vt:lpstr>'Form 5B  (2)'!Print_Area</vt:lpstr>
      <vt:lpstr>'Form 6'!Print_Area</vt:lpstr>
      <vt:lpstr>'Form 7 '!Print_Area</vt:lpstr>
      <vt:lpstr>'Form-11'!Print_Area</vt:lpstr>
      <vt:lpstr>Form13B!Print_Area</vt:lpstr>
      <vt:lpstr>'Form15 Coal '!Print_Area</vt:lpstr>
      <vt:lpstr>'Form15 OIL'!Print_Area</vt:lpstr>
      <vt:lpstr>'Form-9 2019-20'!Print_Area</vt:lpstr>
      <vt:lpstr>'Form-9 2020-21'!Print_Area</vt:lpstr>
      <vt:lpstr>'Form-9 2021-22'!Print_Area</vt:lpstr>
      <vt:lpstr>'FUEL COST'!Print_Area</vt:lpstr>
      <vt:lpstr>'Loan Refinance'!Print_Area</vt:lpstr>
      <vt:lpstr>'Tariff claim'!Print_Area</vt:lpstr>
      <vt:lpstr>Title!Print_Area</vt:lpstr>
      <vt:lpstr>'TSERC allowance'!Print_Area</vt:lpstr>
      <vt:lpstr>'Form 13'!Print_Titles</vt:lpstr>
      <vt:lpstr>'Form 16-O&amp;M (2)'!Print_Titles</vt:lpstr>
      <vt:lpstr>'Form 5B '!Print_Titles</vt:lpstr>
      <vt:lpstr>'Form-9 2019-20'!Print_Titles</vt:lpstr>
      <vt:lpstr>'Form-9 2020-21'!Print_Titles</vt:lpstr>
      <vt:lpstr>'Form-9 2021-22'!Print_Titles</vt:lpstr>
      <vt:lpstr>'Tariff claim'!Print_Titles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stpp-om2</dc:creator>
  <cp:lastModifiedBy>stpp</cp:lastModifiedBy>
  <cp:lastPrinted>2022-11-26T06:19:37Z</cp:lastPrinted>
  <dcterms:created xsi:type="dcterms:W3CDTF">2018-04-16T05:05:25Z</dcterms:created>
  <dcterms:modified xsi:type="dcterms:W3CDTF">2022-12-16T09:46:30Z</dcterms:modified>
</cp:coreProperties>
</file>