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9425" windowHeight="10425" activeTab="2"/>
  </bookViews>
  <sheets>
    <sheet name="Actual FC &amp; PGCIL &amp; TM Cost" sheetId="3" r:id="rId1"/>
    <sheet name="Abstract Avail&amp;Strand" sheetId="5" r:id="rId2"/>
    <sheet name="Addnl Surcharge 23-24_H2" sheetId="1" r:id="rId3"/>
    <sheet name="OA Sales Trend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'Actual FC &amp; PGCIL &amp; TM Cost'!$B$3:$H$58</definedName>
    <definedName name="_xlnm.Print_Area" localSheetId="2">'Addnl Surcharge 23-24_H2'!$A$1:$G$19</definedName>
  </definedNames>
  <calcPr calcId="124519" iterate="1" calcOnSave="0"/>
</workbook>
</file>

<file path=xl/calcChain.xml><?xml version="1.0" encoding="utf-8"?>
<calcChain xmlns="http://schemas.openxmlformats.org/spreadsheetml/2006/main">
  <c r="F8" i="5"/>
  <c r="F7"/>
  <c r="F6"/>
  <c r="F5"/>
  <c r="E8" l="1"/>
  <c r="E7"/>
  <c r="E6"/>
  <c r="E5"/>
  <c r="H8" l="1"/>
  <c r="H7"/>
  <c r="H6"/>
  <c r="H5"/>
  <c r="H4"/>
  <c r="G8" l="1"/>
  <c r="G7"/>
  <c r="G6"/>
  <c r="G5"/>
  <c r="G4"/>
  <c r="F4" l="1"/>
  <c r="E4" l="1"/>
  <c r="D8" l="1"/>
  <c r="D7"/>
  <c r="D6"/>
  <c r="D5"/>
  <c r="D4"/>
  <c r="C8" l="1"/>
  <c r="C7"/>
  <c r="C6"/>
  <c r="C5"/>
  <c r="C4"/>
  <c r="F10" i="1" l="1"/>
  <c r="F12" s="1"/>
  <c r="F14" s="1"/>
  <c r="F16" s="1"/>
  <c r="F17" s="1"/>
  <c r="F19" s="1"/>
  <c r="F6"/>
  <c r="F7" s="1"/>
  <c r="I8" i="5" l="1"/>
  <c r="E4" i="1" s="1"/>
  <c r="I7" i="5"/>
  <c r="I6"/>
  <c r="I5"/>
  <c r="I4"/>
  <c r="E3" i="1" s="1"/>
  <c r="G14" i="3" l="1"/>
  <c r="G13" l="1"/>
  <c r="C26" l="1"/>
  <c r="C19"/>
  <c r="C22"/>
  <c r="F16" l="1"/>
  <c r="E9" i="1" l="1"/>
  <c r="C37" i="3"/>
  <c r="C50" l="1"/>
  <c r="C47"/>
  <c r="C42"/>
  <c r="G13" i="6" l="1"/>
  <c r="F13"/>
  <c r="F6"/>
  <c r="F5"/>
  <c r="D13"/>
  <c r="F8"/>
  <c r="F9"/>
  <c r="F10"/>
  <c r="F11"/>
  <c r="F12"/>
  <c r="F7"/>
  <c r="E16" i="3"/>
  <c r="G16" s="1"/>
  <c r="C53"/>
  <c r="E8" i="1" s="1"/>
  <c r="E10" s="1"/>
  <c r="C40" i="3" l="1"/>
  <c r="E5" i="1" s="1"/>
  <c r="E6" s="1"/>
  <c r="E7" s="1"/>
  <c r="E11" l="1"/>
  <c r="E12" s="1"/>
  <c r="E14" s="1"/>
  <c r="E16" s="1"/>
  <c r="E17" s="1"/>
  <c r="E19" s="1"/>
  <c r="C55" i="3"/>
</calcChain>
</file>

<file path=xl/sharedStrings.xml><?xml version="1.0" encoding="utf-8"?>
<sst xmlns="http://schemas.openxmlformats.org/spreadsheetml/2006/main" count="158" uniqueCount="143">
  <si>
    <t xml:space="preserve">Additional Surcharge </t>
  </si>
  <si>
    <t>Unit</t>
  </si>
  <si>
    <t>{A}</t>
  </si>
  <si>
    <t>Long term available capacity</t>
  </si>
  <si>
    <t>MW</t>
  </si>
  <si>
    <t>{B}</t>
  </si>
  <si>
    <t>Capacity stranded due to open access</t>
  </si>
  <si>
    <t>Capacity stranded due to open access incl Captive</t>
  </si>
  <si>
    <t>{C}</t>
  </si>
  <si>
    <t>Fixed Charges paid</t>
  </si>
  <si>
    <t>Rs. crore</t>
  </si>
  <si>
    <t>Actual FC excl NCEs</t>
  </si>
  <si>
    <t>{D}={C}÷{A}</t>
  </si>
  <si>
    <t>Fixed Charges per MW</t>
  </si>
  <si>
    <t>Rs. crore/MW</t>
  </si>
  <si>
    <t>{E}={D}x{B}</t>
  </si>
  <si>
    <t>Fixed Charges for stranded capacity</t>
  </si>
  <si>
    <t>{F}</t>
  </si>
  <si>
    <t>Transmission charges paid</t>
  </si>
  <si>
    <t>{G}</t>
  </si>
  <si>
    <t>Actual Energy scheduled</t>
  </si>
  <si>
    <t>MU</t>
  </si>
  <si>
    <t>{H}={F}÷{G}</t>
  </si>
  <si>
    <t>Transmission charges per unit</t>
  </si>
  <si>
    <t>Rs./kWh</t>
  </si>
  <si>
    <t>I</t>
  </si>
  <si>
    <t>Distribution charges as per Tariff Order</t>
  </si>
  <si>
    <t>{J}={H}+{I}</t>
  </si>
  <si>
    <t>Total transmission and distribution charges per unit</t>
  </si>
  <si>
    <t>{K}</t>
  </si>
  <si>
    <t>Energy consumed by open access consumers from the DISCOM</t>
  </si>
  <si>
    <t>{L}={K}x{J}</t>
  </si>
  <si>
    <t>Transmission and distribution charges to be paid by open access consumers</t>
  </si>
  <si>
    <t>{M}</t>
  </si>
  <si>
    <t>Demand charges recovered by the DISCOM from open access consumers</t>
  </si>
  <si>
    <t>Demand Charges Excl GPCIL &amp; TP</t>
  </si>
  <si>
    <t>{N}={M}-{L}</t>
  </si>
  <si>
    <t>Demand charges to be adjusted</t>
  </si>
  <si>
    <t>{O}={E}-{N}</t>
  </si>
  <si>
    <t>Net stranded charges recoverable</t>
  </si>
  <si>
    <t>{P}</t>
  </si>
  <si>
    <t>Open access sales</t>
  </si>
  <si>
    <t>Total Intra State + Total  OA</t>
  </si>
  <si>
    <t>{Q}={O}÷{P}</t>
  </si>
  <si>
    <t>Additional Surcharge computed</t>
  </si>
  <si>
    <t>Actual FC incl NCEs</t>
  </si>
  <si>
    <t>Intra State(Excl Captive) + OA (Excl Captive)</t>
  </si>
  <si>
    <t>consider captive in OA MW</t>
  </si>
  <si>
    <t>Total Intra State + Total  OA + APGPCL</t>
  </si>
  <si>
    <t>Consider captive in OA Sales</t>
  </si>
  <si>
    <t>Only Third Party OA MU</t>
  </si>
  <si>
    <t>Energy Excl GPCIL</t>
  </si>
  <si>
    <t>Energy incl GPCIL</t>
  </si>
  <si>
    <t>Energy Excl GPCIL &amp; TP</t>
  </si>
  <si>
    <t>Demand Charges Excl GPCIL</t>
  </si>
  <si>
    <t>Demand Charges incl GPCIL</t>
  </si>
  <si>
    <t>Capacity stranded due to open access w/o Captive</t>
  </si>
  <si>
    <t>RTS-B</t>
  </si>
  <si>
    <t>CGS Total</t>
  </si>
  <si>
    <t>CGS</t>
  </si>
  <si>
    <t>NPC  Kaiga - I&amp; II</t>
  </si>
  <si>
    <t>NPC-MAPS</t>
  </si>
  <si>
    <t>NPC-Kudankulam</t>
  </si>
  <si>
    <t>NLC ST-I</t>
  </si>
  <si>
    <t>NLC ST-II</t>
  </si>
  <si>
    <t>NTPC(SR) I &amp; II</t>
  </si>
  <si>
    <t>NTPC(SR) ST III</t>
  </si>
  <si>
    <t>NTPC-Simhadri -I</t>
  </si>
  <si>
    <t>NTPC-Simhadri -II</t>
  </si>
  <si>
    <t>NTPC-Talcher-ST II</t>
  </si>
  <si>
    <t>NTPC KUDIGI I</t>
  </si>
  <si>
    <t>NTECL - VALLURU</t>
  </si>
  <si>
    <t>NLC Tamilnadu Power Ltd</t>
  </si>
  <si>
    <t>APGPCL ST-I</t>
  </si>
  <si>
    <t>APGPCL ST-I &amp; II</t>
  </si>
  <si>
    <t>IPPs</t>
  </si>
  <si>
    <t>APGPCL Total</t>
  </si>
  <si>
    <t>M/s Thermal Powertech 570MW</t>
  </si>
  <si>
    <t>Thermal Powertech 269.45 Mw</t>
  </si>
  <si>
    <t>TOTAL IPPs/MPPs</t>
  </si>
  <si>
    <t>KTPS V (D)</t>
  </si>
  <si>
    <t>KTPS VI</t>
  </si>
  <si>
    <t>Kakatiya Stage-I</t>
  </si>
  <si>
    <t>Kakatiya Stage-II</t>
  </si>
  <si>
    <t>KTPS Stage VII</t>
  </si>
  <si>
    <t>Interest on Pension bonds</t>
  </si>
  <si>
    <t>TSGENCO-Hydel</t>
  </si>
  <si>
    <t>TSGENCO-TOTAL</t>
  </si>
  <si>
    <t>SINGARENI CCL U1&amp;U2</t>
  </si>
  <si>
    <t>Chatthisgargh SPDCL</t>
  </si>
  <si>
    <t>PGCIL POC</t>
  </si>
  <si>
    <t>PGCIL Non POC</t>
  </si>
  <si>
    <t>POSOCO (SRLDC Fees &amp; Charges)</t>
  </si>
  <si>
    <t>TSTRANSCO-TR TSNPDCL</t>
  </si>
  <si>
    <t>TSTRANSCO-TR TSSPDCL</t>
  </si>
  <si>
    <t>TSTRANSCO-SLDC TSNPDCL</t>
  </si>
  <si>
    <t>TSTRANSCO-SLDC TSSPDCL</t>
  </si>
  <si>
    <t>Name of the Generating Station</t>
  </si>
  <si>
    <t>Distibution cost (Rs./Unit)</t>
  </si>
  <si>
    <t>Total Fixed Cost Excl NCEs</t>
  </si>
  <si>
    <t>PGCIL</t>
  </si>
  <si>
    <t>LTOA sembcorp</t>
  </si>
  <si>
    <t>Transco</t>
  </si>
  <si>
    <t>SLDC</t>
  </si>
  <si>
    <t>PGCIL &amp; T/m Cost</t>
  </si>
  <si>
    <t>Total</t>
  </si>
  <si>
    <t>Others cost</t>
  </si>
  <si>
    <t>Total Check matched</t>
  </si>
  <si>
    <t>SP</t>
  </si>
  <si>
    <t>NP</t>
  </si>
  <si>
    <t>Approved Distribution Cost (Cr.)</t>
  </si>
  <si>
    <t>Actual PP (MU)</t>
  </si>
  <si>
    <t>NNTPS</t>
  </si>
  <si>
    <t>BTPS</t>
  </si>
  <si>
    <t>Sale of Power (MU)</t>
  </si>
  <si>
    <t>Particular (in MW)</t>
  </si>
  <si>
    <t>Average</t>
  </si>
  <si>
    <t>Availibile capacity</t>
  </si>
  <si>
    <t>Scheduled Capacity</t>
  </si>
  <si>
    <t>OA Scheduled Capacity</t>
  </si>
  <si>
    <t>Stranded Capacity</t>
  </si>
  <si>
    <t>Stranded Capacity arrived by considering minimum of backing down i.e., deficit and OA scheduled capacity for each 15-min block</t>
  </si>
  <si>
    <t>FY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</si>
  <si>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</si>
  <si>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</si>
  <si>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</si>
  <si>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</si>
  <si>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</si>
  <si>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</si>
  <si>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</si>
  <si>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</si>
  <si>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H1</t>
  </si>
  <si>
    <t>H2</t>
  </si>
  <si>
    <t>OA Sales excluding captive (MU)</t>
  </si>
  <si>
    <t>Filings for FY22-23 H2</t>
  </si>
  <si>
    <t>Thermal Incentive 2021-22</t>
  </si>
  <si>
    <t>considering Actual Data of Oct'21 to Mar'22</t>
  </si>
  <si>
    <t>(Deficit)/Surplus</t>
  </si>
  <si>
    <t>Apr'22 to Sep'22</t>
  </si>
  <si>
    <t>Filings for FY23-24 H1</t>
  </si>
  <si>
    <t>considering Actual Data of Apr'22 to Sep'22</t>
  </si>
  <si>
    <t>considering Actual Data ofApr'21 to Sep'21</t>
  </si>
  <si>
    <t>Filings for FY22-23 H1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</si>
</sst>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6" fillId="0" borderId="0"/>
  </cellStyleXfs>
  <cellXfs count="107">
    <xf numFmtId="0" fontId="0" fillId="0" borderId="0" xfId="0"/>
    <xf numFmtId="0" fontId="0" fillId="0" borderId="1" xfId="0" applyBorder="1"/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2" fontId="2" fillId="0" borderId="0" xfId="0" applyNumberFormat="1" applyFont="1"/>
    <xf numFmtId="2" fontId="2" fillId="3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2" fillId="0" borderId="0" xfId="0" applyNumberFormat="1" applyFont="1" applyFill="1" applyBorder="1"/>
    <xf numFmtId="2" fontId="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/>
    <xf numFmtId="0" fontId="0" fillId="0" borderId="0" xfId="0" applyFont="1" applyBorder="1"/>
    <xf numFmtId="2" fontId="0" fillId="0" borderId="0" xfId="0" applyNumberFormat="1" applyAlignment="1">
      <alignment vertical="center"/>
    </xf>
    <xf numFmtId="2" fontId="8" fillId="6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1" fontId="15" fillId="0" borderId="1" xfId="0" applyNumberFormat="1" applyFont="1" applyFill="1" applyBorder="1"/>
    <xf numFmtId="0" fontId="11" fillId="0" borderId="1" xfId="0" applyFont="1" applyBorder="1"/>
    <xf numFmtId="0" fontId="11" fillId="0" borderId="0" xfId="0" applyFont="1"/>
    <xf numFmtId="1" fontId="11" fillId="0" borderId="1" xfId="0" applyNumberFormat="1" applyFont="1" applyFill="1" applyBorder="1"/>
    <xf numFmtId="2" fontId="11" fillId="0" borderId="1" xfId="0" applyNumberFormat="1" applyFont="1" applyFill="1" applyBorder="1"/>
    <xf numFmtId="0" fontId="10" fillId="0" borderId="0" xfId="0" applyFont="1" applyAlignment="1">
      <alignment wrapText="1"/>
    </xf>
    <xf numFmtId="2" fontId="10" fillId="0" borderId="0" xfId="0" applyNumberFormat="1" applyFont="1" applyFill="1" applyBorder="1"/>
    <xf numFmtId="2" fontId="11" fillId="0" borderId="0" xfId="0" applyNumberFormat="1" applyFont="1"/>
    <xf numFmtId="1" fontId="16" fillId="4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/>
    <xf numFmtId="1" fontId="17" fillId="4" borderId="1" xfId="0" applyNumberFormat="1" applyFont="1" applyFill="1" applyBorder="1"/>
    <xf numFmtId="0" fontId="10" fillId="4" borderId="1" xfId="0" applyFont="1" applyFill="1" applyBorder="1"/>
    <xf numFmtId="1" fontId="16" fillId="0" borderId="1" xfId="0" applyNumberFormat="1" applyFont="1" applyFill="1" applyBorder="1"/>
    <xf numFmtId="2" fontId="11" fillId="0" borderId="1" xfId="0" applyNumberFormat="1" applyFont="1" applyBorder="1"/>
    <xf numFmtId="1" fontId="18" fillId="0" borderId="1" xfId="0" applyNumberFormat="1" applyFont="1" applyFill="1" applyBorder="1"/>
    <xf numFmtId="0" fontId="11" fillId="0" borderId="1" xfId="0" applyFont="1" applyFill="1" applyBorder="1"/>
    <xf numFmtId="1" fontId="10" fillId="4" borderId="1" xfId="0" applyNumberFormat="1" applyFont="1" applyFill="1" applyBorder="1"/>
    <xf numFmtId="0" fontId="11" fillId="7" borderId="0" xfId="0" applyFont="1" applyFill="1" applyBorder="1"/>
    <xf numFmtId="2" fontId="11" fillId="0" borderId="0" xfId="0" applyNumberFormat="1" applyFont="1" applyFill="1" applyBorder="1"/>
    <xf numFmtId="0" fontId="11" fillId="0" borderId="0" xfId="0" applyFont="1" applyFill="1"/>
    <xf numFmtId="0" fontId="11" fillId="5" borderId="0" xfId="0" applyFont="1" applyFill="1"/>
    <xf numFmtId="164" fontId="10" fillId="5" borderId="0" xfId="0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/>
    </xf>
    <xf numFmtId="2" fontId="0" fillId="6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8" fillId="6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colors>
    <mruColors>
      <color rgb="FFFFFF99"/>
      <color rgb="FFFFFFCC"/>
      <color rgb="FFFFFF0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1%20Apr_2022%20v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2%20May_2022%20v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3%20Jun_2022%20v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4%20Jul_2022%20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5%20Aug_2022%20v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wcindia-my.sharepoint.com/personal/dheeraj_y_babariya_pwc_com/Documents/AS%20Data/Monthly%20Files/new%20sheets_08.11.22/checked/6%20Sep_2022%20v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%20Jun_2022%20v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%20Jul_2022%20v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</sheetNames>
    <sheetDataSet>
      <sheetData sheetId="0">
        <row r="31">
          <cell r="CU31">
            <v>8832.5864805694437</v>
          </cell>
        </row>
        <row r="64">
          <cell r="CU64">
            <v>8281.5388661814231</v>
          </cell>
        </row>
        <row r="66">
          <cell r="CU66">
            <v>551.04761438802086</v>
          </cell>
        </row>
        <row r="108">
          <cell r="CU108">
            <v>53.677110625000076</v>
          </cell>
        </row>
        <row r="110">
          <cell r="CU110">
            <v>48.6339638504775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3)"/>
      <sheetName val="Day (12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  <sheetName val="Day (31)"/>
    </sheetNames>
    <sheetDataSet>
      <sheetData sheetId="0">
        <row r="31">
          <cell r="CU31">
            <v>8412.8555398373683</v>
          </cell>
        </row>
        <row r="64">
          <cell r="CU64">
            <v>7473.9675660470457</v>
          </cell>
        </row>
        <row r="66">
          <cell r="CU66">
            <v>938.88797379032223</v>
          </cell>
        </row>
        <row r="107">
          <cell r="CU107">
            <v>81.937041693548295</v>
          </cell>
        </row>
        <row r="109">
          <cell r="CU109">
            <v>74.597888016687193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</sheetNames>
    <sheetDataSet>
      <sheetData sheetId="0">
        <row r="31">
          <cell r="CU31">
            <v>7799.788993725002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  <sheetName val="Day (31)"/>
    </sheetNames>
    <sheetDataSet>
      <sheetData sheetId="0">
        <row r="31">
          <cell r="CU31">
            <v>7462.6267331196241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  <sheetName val="Day (31)"/>
    </sheetNames>
    <sheetDataSet>
      <sheetData sheetId="0">
        <row r="31">
          <cell r="CU31">
            <v>9381.1743995927445</v>
          </cell>
        </row>
        <row r="64">
          <cell r="CU64">
            <v>7482.8383112190895</v>
          </cell>
        </row>
        <row r="66">
          <cell r="CU66">
            <v>1898.3360883736561</v>
          </cell>
        </row>
        <row r="107">
          <cell r="CU107">
            <v>93.561256048387065</v>
          </cell>
        </row>
        <row r="109">
          <cell r="CU109">
            <v>91.903424319285449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</sheetNames>
    <sheetDataSet>
      <sheetData sheetId="0">
        <row r="31">
          <cell r="CU31">
            <v>10022.095829368054</v>
          </cell>
        </row>
        <row r="64">
          <cell r="CU64">
            <v>7610.3375234652749</v>
          </cell>
        </row>
        <row r="66">
          <cell r="CU66">
            <v>2411.7583059027775</v>
          </cell>
        </row>
        <row r="107">
          <cell r="CU107">
            <v>80.136084027777713</v>
          </cell>
        </row>
        <row r="109">
          <cell r="CU109">
            <v>80.136084027777713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</sheetNames>
    <sheetDataSet>
      <sheetData sheetId="0">
        <row r="64">
          <cell r="CU64">
            <v>7290.8550319194446</v>
          </cell>
        </row>
        <row r="66">
          <cell r="CU66">
            <v>508.9339618055555</v>
          </cell>
        </row>
        <row r="107">
          <cell r="CU107">
            <v>95.169698972222221</v>
          </cell>
        </row>
        <row r="109">
          <cell r="CU109">
            <v>84.01989391059422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y (1)"/>
      <sheetName val="Day (2)"/>
      <sheetName val="Day (3)"/>
      <sheetName val="Day (4)"/>
      <sheetName val="Day (5)"/>
      <sheetName val="Day (6)"/>
      <sheetName val="Day (7)"/>
      <sheetName val="Day (8)"/>
      <sheetName val="Day (9)"/>
      <sheetName val="Day (10)"/>
      <sheetName val="Day (11)"/>
      <sheetName val="Day (12)"/>
      <sheetName val="Day (13)"/>
      <sheetName val="Day (14)"/>
      <sheetName val="Day (15)"/>
      <sheetName val="Day (16)"/>
      <sheetName val="Day (17)"/>
      <sheetName val="Day (18)"/>
      <sheetName val="Day (19)"/>
      <sheetName val="Day (20)"/>
      <sheetName val="Day (21)"/>
      <sheetName val="Day (22)"/>
      <sheetName val="Day (23)"/>
      <sheetName val="Day (24)"/>
      <sheetName val="Day (25)"/>
      <sheetName val="Day (26)"/>
      <sheetName val="Day (27)"/>
      <sheetName val="Day (28)"/>
      <sheetName val="Day (29)"/>
      <sheetName val="Day (30)"/>
      <sheetName val="Day (31)"/>
    </sheetNames>
    <sheetDataSet>
      <sheetData sheetId="0">
        <row r="64">
          <cell r="CU64">
            <v>6421.2697845809607</v>
          </cell>
        </row>
        <row r="66">
          <cell r="CU66">
            <v>1041.3569485386638</v>
          </cell>
        </row>
        <row r="107">
          <cell r="CU107">
            <v>94.383014784946226</v>
          </cell>
        </row>
        <row r="109">
          <cell r="CU109">
            <v>89.282667635438344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99"/>
    <pageSetUpPr fitToPage="1"/>
  </sheetPr>
  <dimension ref="B2:T58"/>
  <sheetViews>
    <sheetView workbookViewId="0">
      <selection activeCell="F5" sqref="F5"/>
    </sheetView>
  </sheetViews>
  <sheetFormatPr defaultColWidth="9.140625" defaultRowHeight="15"/>
  <cols>
    <col min="1" max="1" width="9.140625" style="10"/>
    <col min="2" max="2" width="29.85546875" style="10" customWidth="1"/>
    <col min="3" max="3" width="18" style="10" bestFit="1" customWidth="1"/>
    <col min="4" max="4" width="17.85546875" style="10" customWidth="1"/>
    <col min="5" max="5" width="31.85546875" style="11" customWidth="1"/>
    <col min="6" max="6" width="17.140625" style="11" customWidth="1"/>
    <col min="7" max="7" width="28" style="11" customWidth="1"/>
    <col min="8" max="8" width="28.7109375" style="11" customWidth="1"/>
    <col min="9" max="10" width="14" style="10" customWidth="1"/>
    <col min="11" max="14" width="13.85546875" style="10" customWidth="1"/>
    <col min="15" max="15" width="12" style="10" customWidth="1"/>
    <col min="16" max="16" width="13.28515625" style="10" customWidth="1"/>
    <col min="17" max="18" width="12.42578125" style="10" customWidth="1"/>
    <col min="19" max="20" width="12.42578125" style="12" customWidth="1"/>
    <col min="21" max="22" width="14.140625" style="10" customWidth="1"/>
    <col min="23" max="23" width="11" style="10" bestFit="1" customWidth="1"/>
    <col min="24" max="16384" width="9.140625" style="10"/>
  </cols>
  <sheetData>
    <row r="2" spans="2:20" s="18" customFormat="1" ht="60" customHeight="1">
      <c r="C2" s="25"/>
      <c r="E2" s="19"/>
      <c r="F2" s="19"/>
      <c r="G2" s="19"/>
      <c r="H2" s="19"/>
      <c r="S2" s="20"/>
      <c r="T2" s="20"/>
    </row>
    <row r="3" spans="2:20" ht="31.5">
      <c r="B3" s="61" t="s">
        <v>97</v>
      </c>
      <c r="C3" s="53" t="s">
        <v>138</v>
      </c>
      <c r="D3" s="62"/>
      <c r="E3" s="60"/>
      <c r="F3" s="60"/>
      <c r="G3" s="60"/>
    </row>
    <row r="4" spans="2:20" ht="15.75">
      <c r="B4" s="63" t="s">
        <v>59</v>
      </c>
      <c r="C4" s="64"/>
      <c r="D4" s="65"/>
      <c r="E4" s="60"/>
      <c r="F4" s="60"/>
      <c r="G4" s="60"/>
    </row>
    <row r="5" spans="2:20" ht="15.75">
      <c r="B5" s="66" t="s">
        <v>60</v>
      </c>
      <c r="C5" s="67">
        <v>0</v>
      </c>
      <c r="D5" s="65"/>
      <c r="E5" s="60"/>
      <c r="F5" s="60"/>
      <c r="G5" s="60"/>
    </row>
    <row r="6" spans="2:20" ht="15.75">
      <c r="B6" s="66" t="s">
        <v>61</v>
      </c>
      <c r="C6" s="67">
        <v>0</v>
      </c>
      <c r="D6" s="68"/>
      <c r="E6" s="69"/>
      <c r="F6" s="69"/>
      <c r="G6" s="69"/>
      <c r="H6" s="21"/>
    </row>
    <row r="7" spans="2:20" ht="15.75">
      <c r="B7" s="66" t="s">
        <v>62</v>
      </c>
      <c r="C7" s="67">
        <v>0</v>
      </c>
      <c r="D7" s="65"/>
      <c r="E7" s="60"/>
      <c r="F7" s="60"/>
      <c r="G7" s="60"/>
    </row>
    <row r="8" spans="2:20" ht="15.75">
      <c r="B8" s="66" t="s">
        <v>63</v>
      </c>
      <c r="C8" s="67">
        <v>1.7690413987207845</v>
      </c>
      <c r="D8" s="65"/>
      <c r="E8" s="60"/>
      <c r="F8" s="60"/>
      <c r="G8" s="60"/>
    </row>
    <row r="9" spans="2:20" ht="15.75">
      <c r="B9" s="66" t="s">
        <v>64</v>
      </c>
      <c r="C9" s="67">
        <v>2.8640023999999999</v>
      </c>
      <c r="D9" s="65"/>
      <c r="E9" s="60"/>
      <c r="F9" s="60"/>
      <c r="G9" s="60"/>
    </row>
    <row r="10" spans="2:20" ht="15.75">
      <c r="B10" s="66" t="s">
        <v>112</v>
      </c>
      <c r="C10" s="67">
        <v>40.338369976666662</v>
      </c>
      <c r="D10" s="65"/>
      <c r="E10" s="60"/>
      <c r="F10" s="60"/>
      <c r="G10" s="60"/>
    </row>
    <row r="11" spans="2:20" ht="15.75">
      <c r="B11" s="66" t="s">
        <v>65</v>
      </c>
      <c r="C11" s="67">
        <v>87.349736399999998</v>
      </c>
      <c r="D11" s="85"/>
      <c r="E11" s="86"/>
      <c r="F11" s="87" t="s">
        <v>111</v>
      </c>
      <c r="G11" s="87"/>
      <c r="H11" s="10"/>
    </row>
    <row r="12" spans="2:20" ht="16.5" customHeight="1">
      <c r="B12" s="66" t="s">
        <v>66</v>
      </c>
      <c r="C12" s="67">
        <v>19.783653600000001</v>
      </c>
      <c r="D12" s="88"/>
      <c r="E12" s="89" t="s">
        <v>110</v>
      </c>
      <c r="F12" s="89" t="s">
        <v>131</v>
      </c>
      <c r="G12" s="90" t="s">
        <v>98</v>
      </c>
    </row>
    <row r="13" spans="2:20" ht="15.75">
      <c r="B13" s="66" t="s">
        <v>67</v>
      </c>
      <c r="C13" s="67">
        <v>229.89900470000001</v>
      </c>
      <c r="D13" s="85" t="s">
        <v>108</v>
      </c>
      <c r="E13" s="91">
        <v>4670.72</v>
      </c>
      <c r="F13" s="92">
        <v>26119.501112890008</v>
      </c>
      <c r="G13" s="93">
        <f>E13*10/(2*(F13-70.55%*F15))</f>
        <v>0.9372471312064069</v>
      </c>
      <c r="H13" s="22"/>
    </row>
    <row r="14" spans="2:20" ht="15.75">
      <c r="B14" s="66" t="s">
        <v>68</v>
      </c>
      <c r="C14" s="67">
        <v>162.10803079999999</v>
      </c>
      <c r="D14" s="85" t="s">
        <v>109</v>
      </c>
      <c r="E14" s="91">
        <v>3601.25</v>
      </c>
      <c r="F14" s="92">
        <v>10873.516347841811</v>
      </c>
      <c r="G14" s="93">
        <f>E14*10/(2*(F14-29.45%*F15))</f>
        <v>1.7361034220979277</v>
      </c>
      <c r="H14" s="22"/>
    </row>
    <row r="15" spans="2:20" ht="15.75">
      <c r="B15" s="66" t="s">
        <v>69</v>
      </c>
      <c r="C15" s="67">
        <v>68.781988600000005</v>
      </c>
      <c r="D15" s="85" t="s">
        <v>114</v>
      </c>
      <c r="E15" s="91"/>
      <c r="F15" s="92">
        <v>1704.1440175</v>
      </c>
      <c r="G15" s="85"/>
      <c r="H15" s="22"/>
    </row>
    <row r="16" spans="2:20" ht="15.75">
      <c r="B16" s="66" t="s">
        <v>70</v>
      </c>
      <c r="C16" s="67">
        <v>164.16564159999999</v>
      </c>
      <c r="D16" s="88" t="s">
        <v>105</v>
      </c>
      <c r="E16" s="94">
        <f>SUM(E13:E14)</f>
        <v>8271.9700000000012</v>
      </c>
      <c r="F16" s="94">
        <f>SUM(F13:F14,-F15)</f>
        <v>35288.873443231816</v>
      </c>
      <c r="G16" s="95">
        <f>E16*10/(2*F16)</f>
        <v>1.1720365646280659</v>
      </c>
      <c r="H16" s="13"/>
    </row>
    <row r="17" spans="2:11" ht="15.75">
      <c r="B17" s="66" t="s">
        <v>71</v>
      </c>
      <c r="C17" s="67">
        <v>71.585470950000001</v>
      </c>
      <c r="D17" s="65"/>
      <c r="E17" s="60"/>
      <c r="F17" s="60"/>
      <c r="G17" s="60"/>
    </row>
    <row r="18" spans="2:11" ht="15.75">
      <c r="B18" s="66" t="s">
        <v>72</v>
      </c>
      <c r="C18" s="67">
        <v>77.380210590402996</v>
      </c>
      <c r="D18" s="65"/>
      <c r="E18" s="60"/>
      <c r="F18" s="60"/>
      <c r="G18" s="60"/>
    </row>
    <row r="19" spans="2:11" ht="15.75">
      <c r="B19" s="71" t="s">
        <v>58</v>
      </c>
      <c r="C19" s="72">
        <f>SUM(C4:C18)</f>
        <v>926.02515101579036</v>
      </c>
      <c r="D19" s="65"/>
      <c r="E19" s="60"/>
      <c r="F19" s="60"/>
      <c r="G19" s="60"/>
    </row>
    <row r="20" spans="2:11" ht="15.75">
      <c r="B20" s="66" t="s">
        <v>73</v>
      </c>
      <c r="C20" s="64">
        <v>0</v>
      </c>
      <c r="D20" s="65"/>
      <c r="E20" s="60"/>
      <c r="F20" s="60"/>
      <c r="G20" s="60"/>
    </row>
    <row r="21" spans="2:11" ht="15.75">
      <c r="B21" s="66" t="s">
        <v>74</v>
      </c>
      <c r="C21" s="64">
        <v>0</v>
      </c>
      <c r="D21" s="65"/>
      <c r="E21" s="60"/>
      <c r="F21" s="60"/>
      <c r="G21" s="60"/>
    </row>
    <row r="22" spans="2:11" ht="15.75">
      <c r="B22" s="73" t="s">
        <v>76</v>
      </c>
      <c r="C22" s="74">
        <f t="shared" ref="C22" si="0">C21+C20</f>
        <v>0</v>
      </c>
      <c r="D22" s="65"/>
      <c r="E22" s="60"/>
      <c r="F22" s="60"/>
      <c r="G22" s="60"/>
    </row>
    <row r="23" spans="2:11" ht="15.75">
      <c r="B23" s="75" t="s">
        <v>75</v>
      </c>
      <c r="C23" s="64"/>
      <c r="D23" s="65"/>
      <c r="E23" s="60"/>
      <c r="F23" s="60"/>
      <c r="G23" s="60"/>
    </row>
    <row r="24" spans="2:11" ht="15.75">
      <c r="B24" s="66" t="s">
        <v>77</v>
      </c>
      <c r="C24" s="76">
        <v>530.03450840000005</v>
      </c>
      <c r="D24" s="65"/>
      <c r="E24" s="60"/>
      <c r="F24" s="60"/>
      <c r="G24" s="60"/>
    </row>
    <row r="25" spans="2:11" ht="15.75">
      <c r="B25" s="77" t="s">
        <v>78</v>
      </c>
      <c r="C25" s="76">
        <v>159.33369350000001</v>
      </c>
      <c r="D25" s="65"/>
      <c r="E25" s="60"/>
      <c r="F25" s="60"/>
      <c r="G25" s="60"/>
    </row>
    <row r="26" spans="2:11" ht="15.75" customHeight="1">
      <c r="B26" s="73" t="s">
        <v>79</v>
      </c>
      <c r="C26" s="72">
        <f>C25+C24</f>
        <v>689.36820190000003</v>
      </c>
      <c r="D26" s="65"/>
      <c r="E26" s="60"/>
      <c r="F26" s="60"/>
      <c r="G26" s="60"/>
    </row>
    <row r="27" spans="2:11" ht="15.75">
      <c r="B27" s="66" t="s">
        <v>80</v>
      </c>
      <c r="C27" s="76">
        <v>179.8973057</v>
      </c>
      <c r="D27" s="70"/>
      <c r="E27" s="60"/>
      <c r="F27" s="60"/>
      <c r="G27" s="60"/>
    </row>
    <row r="28" spans="2:11" ht="15.75">
      <c r="B28" s="66" t="s">
        <v>81</v>
      </c>
      <c r="C28" s="76">
        <v>260.89499999999998</v>
      </c>
      <c r="D28" s="70"/>
      <c r="E28" s="60"/>
      <c r="F28" s="60"/>
      <c r="G28" s="60"/>
    </row>
    <row r="29" spans="2:11" ht="15.75">
      <c r="B29" s="66" t="s">
        <v>57</v>
      </c>
      <c r="C29" s="76">
        <v>275.9691823</v>
      </c>
      <c r="D29" s="70"/>
      <c r="E29" s="60"/>
      <c r="F29" s="60"/>
      <c r="G29" s="60"/>
    </row>
    <row r="30" spans="2:11" ht="15.75">
      <c r="B30" s="66" t="s">
        <v>82</v>
      </c>
      <c r="C30" s="76">
        <v>43.114242599999997</v>
      </c>
      <c r="D30" s="70"/>
      <c r="E30" s="60"/>
      <c r="F30" s="60"/>
      <c r="G30" s="60"/>
      <c r="H30" s="32"/>
      <c r="I30" s="33"/>
      <c r="J30" s="33"/>
      <c r="K30" s="34"/>
    </row>
    <row r="31" spans="2:11" ht="15.75">
      <c r="B31" s="66" t="s">
        <v>83</v>
      </c>
      <c r="C31" s="76">
        <v>180.30041309999999</v>
      </c>
      <c r="D31" s="70"/>
      <c r="E31" s="60"/>
      <c r="F31" s="60"/>
      <c r="G31" s="60"/>
      <c r="H31" s="32"/>
      <c r="I31" s="35"/>
      <c r="J31" s="35"/>
      <c r="K31" s="35"/>
    </row>
    <row r="32" spans="2:11" ht="15.75">
      <c r="B32" s="66" t="s">
        <v>84</v>
      </c>
      <c r="C32" s="76">
        <v>360.05500019999999</v>
      </c>
      <c r="D32" s="70"/>
      <c r="E32" s="60"/>
      <c r="F32" s="60"/>
      <c r="G32" s="60"/>
      <c r="H32" s="32"/>
      <c r="I32" s="36"/>
      <c r="J32" s="36"/>
      <c r="K32" s="35"/>
    </row>
    <row r="33" spans="2:11" ht="15.75">
      <c r="B33" s="78" t="s">
        <v>113</v>
      </c>
      <c r="C33" s="76">
        <v>646.81929170000001</v>
      </c>
      <c r="D33" s="70"/>
      <c r="E33" s="60"/>
      <c r="F33" s="60"/>
      <c r="G33" s="60"/>
      <c r="I33" s="37"/>
      <c r="J33" s="38"/>
      <c r="K33" s="35"/>
    </row>
    <row r="34" spans="2:11" ht="15.75">
      <c r="B34" s="66" t="s">
        <v>85</v>
      </c>
      <c r="C34" s="67">
        <v>653.7200004</v>
      </c>
      <c r="D34" s="70"/>
      <c r="E34" s="60"/>
      <c r="F34" s="60"/>
      <c r="G34" s="60"/>
    </row>
    <row r="35" spans="2:11" ht="15.75">
      <c r="B35" s="66" t="s">
        <v>86</v>
      </c>
      <c r="C35" s="76">
        <v>665.3950001666667</v>
      </c>
      <c r="D35" s="70"/>
      <c r="E35" s="60"/>
      <c r="F35" s="60"/>
      <c r="G35" s="60"/>
    </row>
    <row r="36" spans="2:11" ht="15.75">
      <c r="B36" s="66" t="s">
        <v>135</v>
      </c>
      <c r="C36" s="76">
        <v>0</v>
      </c>
      <c r="D36" s="70"/>
      <c r="E36" s="60"/>
      <c r="F36" s="60"/>
      <c r="G36" s="60"/>
    </row>
    <row r="37" spans="2:11" ht="15.75">
      <c r="B37" s="79" t="s">
        <v>87</v>
      </c>
      <c r="C37" s="72">
        <f>SUM(C27:C36)</f>
        <v>3266.165436166667</v>
      </c>
      <c r="D37" s="70"/>
      <c r="E37" s="60"/>
      <c r="F37" s="60"/>
      <c r="G37" s="60"/>
    </row>
    <row r="38" spans="2:11" ht="15.75">
      <c r="B38" s="66" t="s">
        <v>88</v>
      </c>
      <c r="C38" s="76">
        <v>708.07999993333317</v>
      </c>
      <c r="D38" s="65"/>
      <c r="E38" s="60"/>
      <c r="F38" s="60"/>
      <c r="G38" s="60"/>
    </row>
    <row r="39" spans="2:11" ht="15.75">
      <c r="B39" s="66" t="s">
        <v>89</v>
      </c>
      <c r="C39" s="76">
        <v>0</v>
      </c>
      <c r="D39" s="65"/>
      <c r="E39" s="60"/>
      <c r="F39" s="60"/>
      <c r="G39" s="60"/>
    </row>
    <row r="40" spans="2:11" ht="15.75">
      <c r="B40" s="79" t="s">
        <v>99</v>
      </c>
      <c r="C40" s="72">
        <f>(C19+C22+C26+C37+C38+C39)</f>
        <v>5589.6387890157903</v>
      </c>
      <c r="D40" s="65"/>
      <c r="E40" s="60"/>
      <c r="F40" s="60"/>
      <c r="G40" s="60"/>
    </row>
    <row r="41" spans="2:11" ht="15.75">
      <c r="B41" s="65"/>
      <c r="C41" s="65"/>
      <c r="D41" s="80"/>
      <c r="E41" s="60"/>
      <c r="F41" s="60"/>
      <c r="G41" s="60"/>
    </row>
    <row r="42" spans="2:11" ht="15.75">
      <c r="B42" s="74" t="s">
        <v>100</v>
      </c>
      <c r="C42" s="72">
        <f>(C43+C44+C45+C46)</f>
        <v>653.01846756112377</v>
      </c>
      <c r="D42" s="69"/>
      <c r="E42" s="60"/>
      <c r="F42" s="60"/>
      <c r="G42" s="60"/>
    </row>
    <row r="43" spans="2:11" ht="15.75">
      <c r="B43" s="66" t="s">
        <v>90</v>
      </c>
      <c r="C43" s="76">
        <v>649.25710489999994</v>
      </c>
      <c r="D43" s="81"/>
      <c r="E43" s="60"/>
      <c r="F43" s="60"/>
      <c r="G43" s="60"/>
    </row>
    <row r="44" spans="2:11" ht="15.75">
      <c r="B44" s="66" t="s">
        <v>91</v>
      </c>
      <c r="C44" s="76">
        <v>1.8213793</v>
      </c>
      <c r="D44" s="81"/>
      <c r="E44" s="60"/>
      <c r="F44" s="60"/>
      <c r="G44" s="60"/>
    </row>
    <row r="45" spans="2:11" ht="15.75">
      <c r="B45" s="66" t="s">
        <v>92</v>
      </c>
      <c r="C45" s="76">
        <v>1.6706369611238752</v>
      </c>
      <c r="D45" s="81"/>
      <c r="E45" s="60"/>
      <c r="F45" s="60"/>
      <c r="G45" s="60"/>
    </row>
    <row r="46" spans="2:11" ht="15.75">
      <c r="B46" s="66" t="s">
        <v>101</v>
      </c>
      <c r="C46" s="67">
        <v>0.26934639999999999</v>
      </c>
      <c r="D46" s="81"/>
      <c r="E46" s="60"/>
      <c r="F46" s="60"/>
      <c r="G46" s="60"/>
    </row>
    <row r="47" spans="2:11" ht="15.75">
      <c r="B47" s="79" t="s">
        <v>102</v>
      </c>
      <c r="C47" s="72">
        <f>(C48+C49)</f>
        <v>1694.5372637999999</v>
      </c>
      <c r="D47" s="69"/>
      <c r="E47" s="60"/>
      <c r="F47" s="60"/>
      <c r="G47" s="60"/>
    </row>
    <row r="48" spans="2:11" ht="15.75">
      <c r="B48" s="66" t="s">
        <v>93</v>
      </c>
      <c r="C48" s="76">
        <v>502.71596820000002</v>
      </c>
      <c r="D48" s="81"/>
      <c r="E48" s="60"/>
      <c r="F48" s="60"/>
      <c r="G48" s="60"/>
    </row>
    <row r="49" spans="2:7" ht="15.75">
      <c r="B49" s="66" t="s">
        <v>94</v>
      </c>
      <c r="C49" s="76">
        <v>1191.8212956</v>
      </c>
      <c r="D49" s="81"/>
      <c r="E49" s="60"/>
      <c r="F49" s="60"/>
      <c r="G49" s="60"/>
    </row>
    <row r="50" spans="2:7" ht="15.75">
      <c r="B50" s="79" t="s">
        <v>103</v>
      </c>
      <c r="C50" s="72">
        <f>(C51+C52)</f>
        <v>26.206009600000002</v>
      </c>
      <c r="D50" s="69"/>
      <c r="E50" s="60"/>
      <c r="F50" s="60"/>
      <c r="G50" s="60"/>
    </row>
    <row r="51" spans="2:7" ht="15.75">
      <c r="B51" s="66" t="s">
        <v>95</v>
      </c>
      <c r="C51" s="76">
        <v>7.7307331000000001</v>
      </c>
      <c r="D51" s="81"/>
      <c r="E51" s="60"/>
      <c r="F51" s="60"/>
      <c r="G51" s="60"/>
    </row>
    <row r="52" spans="2:7" ht="15.75">
      <c r="B52" s="66" t="s">
        <v>96</v>
      </c>
      <c r="C52" s="76">
        <v>18.4752765</v>
      </c>
      <c r="D52" s="81"/>
      <c r="E52" s="60"/>
      <c r="F52" s="60"/>
      <c r="G52" s="60"/>
    </row>
    <row r="53" spans="2:7" ht="15.75">
      <c r="B53" s="79" t="s">
        <v>104</v>
      </c>
      <c r="C53" s="72">
        <f t="shared" ref="C53" si="1">(C42+C47+C50)</f>
        <v>2373.7617409611235</v>
      </c>
      <c r="D53" s="69"/>
      <c r="E53" s="81"/>
      <c r="F53" s="81"/>
      <c r="G53" s="60"/>
    </row>
    <row r="54" spans="2:7" ht="15.75">
      <c r="B54" s="65"/>
      <c r="C54" s="65"/>
      <c r="D54" s="82"/>
      <c r="E54" s="60"/>
      <c r="F54" s="60"/>
      <c r="G54" s="60"/>
    </row>
    <row r="55" spans="2:7" ht="15.75">
      <c r="B55" s="83" t="s">
        <v>105</v>
      </c>
      <c r="C55" s="84">
        <f t="shared" ref="C55" si="2">C50+C47+C42+C40</f>
        <v>7963.4005299769142</v>
      </c>
      <c r="D55" s="65"/>
      <c r="E55" s="60"/>
      <c r="F55" s="60"/>
      <c r="G55" s="60"/>
    </row>
    <row r="56" spans="2:7" ht="15.75">
      <c r="B56" s="65"/>
      <c r="C56" s="65"/>
      <c r="D56" s="65"/>
      <c r="E56" s="60"/>
      <c r="F56" s="60"/>
      <c r="G56" s="60"/>
    </row>
    <row r="57" spans="2:7" ht="15.75">
      <c r="B57" s="65" t="s">
        <v>106</v>
      </c>
      <c r="C57" s="65"/>
      <c r="D57" s="65"/>
      <c r="E57" s="60"/>
      <c r="F57" s="60"/>
      <c r="G57" s="60"/>
    </row>
    <row r="58" spans="2:7" ht="15.75">
      <c r="B58" s="65" t="s">
        <v>107</v>
      </c>
      <c r="C58" s="65"/>
      <c r="D58" s="65"/>
      <c r="E58" s="60"/>
      <c r="F58" s="60"/>
      <c r="G58" s="60"/>
    </row>
  </sheetData>
  <mergeCells count="1">
    <mergeCell ref="F11:G11"/>
  </mergeCells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</sheetPr>
  <dimension ref="B1:I14"/>
  <sheetViews>
    <sheetView workbookViewId="0">
      <selection activeCell="G12" sqref="G12"/>
    </sheetView>
  </sheetViews>
  <sheetFormatPr defaultRowHeight="15"/>
  <cols>
    <col min="2" max="2" width="21.7109375" bestFit="1" customWidth="1"/>
    <col min="3" max="3" width="10.140625" bestFit="1" customWidth="1"/>
    <col min="4" max="4" width="10.85546875" bestFit="1" customWidth="1"/>
    <col min="5" max="5" width="10.140625" bestFit="1" customWidth="1"/>
    <col min="6" max="6" width="9.7109375" bestFit="1" customWidth="1"/>
    <col min="7" max="7" width="10.5703125" bestFit="1" customWidth="1"/>
    <col min="8" max="9" width="10.85546875" bestFit="1" customWidth="1"/>
  </cols>
  <sheetData>
    <row r="1" spans="2:9">
      <c r="C1" s="17"/>
      <c r="D1" s="17"/>
      <c r="E1" s="17"/>
      <c r="F1" s="17"/>
      <c r="G1" s="17"/>
      <c r="H1" s="17"/>
    </row>
    <row r="3" spans="2:9" ht="15.75">
      <c r="B3" s="53" t="s">
        <v>115</v>
      </c>
      <c r="C3" s="54">
        <v>44652</v>
      </c>
      <c r="D3" s="54">
        <v>44682</v>
      </c>
      <c r="E3" s="54">
        <v>44713</v>
      </c>
      <c r="F3" s="54">
        <v>44743</v>
      </c>
      <c r="G3" s="54">
        <v>44774</v>
      </c>
      <c r="H3" s="54">
        <v>44805</v>
      </c>
      <c r="I3" s="53" t="s">
        <v>116</v>
      </c>
    </row>
    <row r="4" spans="2:9" ht="15.75">
      <c r="B4" s="55" t="s">
        <v>117</v>
      </c>
      <c r="C4" s="56">
        <f>'[1]Day (1)'!$CU$31</f>
        <v>8832.5864805694437</v>
      </c>
      <c r="D4" s="56">
        <f>'[2]Day (1)'!$CU$31</f>
        <v>8412.8555398373683</v>
      </c>
      <c r="E4" s="56">
        <f>'[3]Day (1)'!$CU$31</f>
        <v>7799.788993725002</v>
      </c>
      <c r="F4" s="56">
        <f>'[4]Day (1)'!$CU$31</f>
        <v>7462.6267331196241</v>
      </c>
      <c r="G4" s="56">
        <f>'[5]Day (1)'!$CU$31</f>
        <v>9381.1743995927445</v>
      </c>
      <c r="H4" s="56">
        <f>'[6]Day (1)'!$CU$31</f>
        <v>10022.095829368054</v>
      </c>
      <c r="I4" s="57">
        <f>AVERAGE(C4:H4)</f>
        <v>8651.8546627020387</v>
      </c>
    </row>
    <row r="5" spans="2:9" ht="15.75">
      <c r="B5" s="55" t="s">
        <v>118</v>
      </c>
      <c r="C5" s="56">
        <f>'[1]Day (1)'!$CU$64</f>
        <v>8281.5388661814231</v>
      </c>
      <c r="D5" s="56">
        <f>'[2]Day (1)'!$CU$64</f>
        <v>7473.9675660470457</v>
      </c>
      <c r="E5" s="56">
        <f>'[7]Day (1)'!$CU$64</f>
        <v>7290.8550319194446</v>
      </c>
      <c r="F5" s="56">
        <f>'[8]Day (1)'!$CU$64</f>
        <v>6421.2697845809607</v>
      </c>
      <c r="G5" s="56">
        <f>'[5]Day (1)'!$CU$64</f>
        <v>7482.8383112190895</v>
      </c>
      <c r="H5" s="56">
        <f>'[6]Day (1)'!$CU$64</f>
        <v>7610.3375234652749</v>
      </c>
      <c r="I5" s="57">
        <f t="shared" ref="I5:I8" si="0">AVERAGE(C5:H5)</f>
        <v>7426.801180568873</v>
      </c>
    </row>
    <row r="6" spans="2:9" ht="15.75">
      <c r="B6" s="55" t="s">
        <v>137</v>
      </c>
      <c r="C6" s="56">
        <f>'[1]Day (1)'!$CU$66</f>
        <v>551.04761438802086</v>
      </c>
      <c r="D6" s="56">
        <f>'[2]Day (1)'!$CU$66</f>
        <v>938.88797379032223</v>
      </c>
      <c r="E6" s="56">
        <f>'[7]Day (1)'!$CU$66</f>
        <v>508.9339618055555</v>
      </c>
      <c r="F6" s="56">
        <f>'[8]Day (1)'!$CU$66</f>
        <v>1041.3569485386638</v>
      </c>
      <c r="G6" s="56">
        <f>'[5]Day (1)'!$CU$66</f>
        <v>1898.3360883736561</v>
      </c>
      <c r="H6" s="56">
        <f>'[6]Day (1)'!$CU$66</f>
        <v>2411.7583059027775</v>
      </c>
      <c r="I6" s="57">
        <f t="shared" si="0"/>
        <v>1225.053482133166</v>
      </c>
    </row>
    <row r="7" spans="2:9" ht="15.75">
      <c r="B7" s="55" t="s">
        <v>119</v>
      </c>
      <c r="C7" s="56">
        <f>'[1]Day (1)'!$CU$108</f>
        <v>53.677110625000076</v>
      </c>
      <c r="D7" s="56">
        <f>'[2]Day (1)'!$CU$107</f>
        <v>81.937041693548295</v>
      </c>
      <c r="E7" s="56">
        <f>'[7]Day (1)'!$CU$107</f>
        <v>95.169698972222221</v>
      </c>
      <c r="F7" s="56">
        <f>'[8]Day (1)'!$CU$107</f>
        <v>94.383014784946226</v>
      </c>
      <c r="G7" s="56">
        <f>'[5]Day (1)'!$CU$107</f>
        <v>93.561256048387065</v>
      </c>
      <c r="H7" s="56">
        <f>'[6]Day (1)'!$CU$107</f>
        <v>80.136084027777713</v>
      </c>
      <c r="I7" s="57">
        <f t="shared" si="0"/>
        <v>83.144034358646934</v>
      </c>
    </row>
    <row r="8" spans="2:9" ht="15.75">
      <c r="B8" s="53" t="s">
        <v>120</v>
      </c>
      <c r="C8" s="58">
        <f>'[1]Day (1)'!$CU$110</f>
        <v>48.6339638504775</v>
      </c>
      <c r="D8" s="58">
        <f>'[2]Day (1)'!$CU$109</f>
        <v>74.597888016687193</v>
      </c>
      <c r="E8" s="58">
        <f>'[7]Day (1)'!$CU$109</f>
        <v>84.01989391059422</v>
      </c>
      <c r="F8" s="58">
        <f>'[8]Day (1)'!$CU$109</f>
        <v>89.282667635438344</v>
      </c>
      <c r="G8" s="58">
        <f>'[5]Day (1)'!$CU$109</f>
        <v>91.903424319285449</v>
      </c>
      <c r="H8" s="58">
        <f>'[6]Day (1)'!$CU$109</f>
        <v>80.136084027777713</v>
      </c>
      <c r="I8" s="57">
        <f t="shared" si="0"/>
        <v>78.095653626710074</v>
      </c>
    </row>
    <row r="9" spans="2:9">
      <c r="B9" s="59" t="s">
        <v>121</v>
      </c>
      <c r="C9" s="59"/>
      <c r="D9" s="59"/>
      <c r="E9" s="59"/>
      <c r="F9" s="59"/>
      <c r="G9" s="59"/>
      <c r="H9" s="59"/>
      <c r="I9" s="59"/>
    </row>
    <row r="10" spans="2:9">
      <c r="B10" s="59"/>
      <c r="C10" s="59"/>
      <c r="D10" s="59"/>
      <c r="E10" s="59"/>
      <c r="F10" s="59"/>
      <c r="G10" s="59"/>
      <c r="H10" s="59"/>
      <c r="I10" s="59"/>
    </row>
    <row r="14" spans="2:9" ht="15.75">
      <c r="E14" s="52"/>
    </row>
  </sheetData>
  <mergeCells count="1">
    <mergeCell ref="B9:I10"/>
  </mergeCells>
  <printOptions horizontalCentered="1"/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FF99"/>
  </sheetPr>
  <dimension ref="A1:H48"/>
  <sheetViews>
    <sheetView tabSelected="1" zoomScaleSheetLayoutView="70" workbookViewId="0">
      <selection activeCell="K4" sqref="K4"/>
    </sheetView>
  </sheetViews>
  <sheetFormatPr defaultRowHeight="15"/>
  <cols>
    <col min="2" max="2" width="14.5703125" customWidth="1"/>
    <col min="3" max="3" width="52.28515625" customWidth="1"/>
    <col min="4" max="4" width="14" customWidth="1"/>
    <col min="5" max="5" width="22.85546875" customWidth="1"/>
    <col min="6" max="6" width="22.140625" style="7" customWidth="1"/>
    <col min="7" max="7" width="21.85546875" customWidth="1"/>
  </cols>
  <sheetData>
    <row r="1" spans="2:7" s="16" customFormat="1">
      <c r="B1" s="48" t="s">
        <v>0</v>
      </c>
      <c r="C1" s="48"/>
      <c r="D1" s="49" t="s">
        <v>1</v>
      </c>
      <c r="E1" s="23" t="s">
        <v>139</v>
      </c>
      <c r="F1" s="96" t="s">
        <v>134</v>
      </c>
      <c r="G1" s="96" t="s">
        <v>142</v>
      </c>
    </row>
    <row r="2" spans="2:7" ht="45">
      <c r="B2" s="48"/>
      <c r="C2" s="48"/>
      <c r="D2" s="50"/>
      <c r="E2" s="6" t="s">
        <v>140</v>
      </c>
      <c r="F2" s="97" t="s">
        <v>136</v>
      </c>
      <c r="G2" s="97" t="s">
        <v>141</v>
      </c>
    </row>
    <row r="3" spans="2:7" ht="24.95" customHeight="1">
      <c r="B3" s="46" t="s">
        <v>2</v>
      </c>
      <c r="C3" s="46" t="s">
        <v>3</v>
      </c>
      <c r="D3" s="44" t="s">
        <v>4</v>
      </c>
      <c r="E3" s="2">
        <f>'Abstract Avail&amp;Strand'!I4</f>
        <v>8651.8546627020387</v>
      </c>
      <c r="F3" s="42">
        <v>8546.5300000000007</v>
      </c>
      <c r="G3" s="106">
        <v>9227.5497116170027</v>
      </c>
    </row>
    <row r="4" spans="2:7" ht="34.5" customHeight="1">
      <c r="B4" s="43" t="s">
        <v>5</v>
      </c>
      <c r="C4" s="43" t="s">
        <v>6</v>
      </c>
      <c r="D4" s="44" t="s">
        <v>4</v>
      </c>
      <c r="E4" s="40">
        <f xml:space="preserve"> 'Abstract Avail&amp;Strand'!I$8</f>
        <v>78.095653626710074</v>
      </c>
      <c r="F4" s="98">
        <v>152.29</v>
      </c>
      <c r="G4" s="40">
        <v>222.06953021523984</v>
      </c>
    </row>
    <row r="5" spans="2:7" ht="30.75" customHeight="1">
      <c r="B5" s="43" t="s">
        <v>8</v>
      </c>
      <c r="C5" s="43" t="s">
        <v>9</v>
      </c>
      <c r="D5" s="44" t="s">
        <v>10</v>
      </c>
      <c r="E5" s="40">
        <f xml:space="preserve"> 'Actual FC &amp; PGCIL &amp; TM Cost'!C$40</f>
        <v>5589.6387890157903</v>
      </c>
      <c r="F5" s="99">
        <v>6063.77</v>
      </c>
      <c r="G5" s="40">
        <v>6004.5297963743733</v>
      </c>
    </row>
    <row r="6" spans="2:7" ht="24.95" customHeight="1">
      <c r="B6" s="43" t="s">
        <v>12</v>
      </c>
      <c r="C6" s="43" t="s">
        <v>13</v>
      </c>
      <c r="D6" s="43" t="s">
        <v>14</v>
      </c>
      <c r="E6" s="2">
        <f>E5/E3</f>
        <v>0.64606249260203186</v>
      </c>
      <c r="F6" s="100">
        <f>F5/F3</f>
        <v>0.70950081495062911</v>
      </c>
      <c r="G6" s="106">
        <v>0.65071768606296254</v>
      </c>
    </row>
    <row r="7" spans="2:7" ht="24.95" customHeight="1">
      <c r="B7" s="43" t="s">
        <v>15</v>
      </c>
      <c r="C7" s="43" t="s">
        <v>16</v>
      </c>
      <c r="D7" s="44" t="s">
        <v>10</v>
      </c>
      <c r="E7" s="2">
        <f>E6*E4</f>
        <v>50.454672643457222</v>
      </c>
      <c r="F7" s="100">
        <f>F6*F4</f>
        <v>108.04987910883131</v>
      </c>
      <c r="G7" s="106">
        <v>144.50457084675</v>
      </c>
    </row>
    <row r="8" spans="2:7" ht="30.75" customHeight="1">
      <c r="B8" s="43" t="s">
        <v>17</v>
      </c>
      <c r="C8" s="43" t="s">
        <v>18</v>
      </c>
      <c r="D8" s="44" t="s">
        <v>10</v>
      </c>
      <c r="E8" s="41">
        <f xml:space="preserve"> 'Actual FC &amp; PGCIL &amp; TM Cost'!C$53</f>
        <v>2373.7617409611235</v>
      </c>
      <c r="F8" s="101">
        <v>2080.86</v>
      </c>
      <c r="G8" s="106">
        <v>2137.3441693930004</v>
      </c>
    </row>
    <row r="9" spans="2:7" ht="24.95" customHeight="1">
      <c r="B9" s="43" t="s">
        <v>19</v>
      </c>
      <c r="C9" s="43" t="s">
        <v>20</v>
      </c>
      <c r="D9" s="44" t="s">
        <v>21</v>
      </c>
      <c r="E9" s="41">
        <f xml:space="preserve"> 'Actual FC &amp; PGCIL &amp; TM Cost'!F$16</f>
        <v>35288.873443231816</v>
      </c>
      <c r="F9" s="100">
        <v>36015</v>
      </c>
      <c r="G9" s="106">
        <v>34112.657001379004</v>
      </c>
    </row>
    <row r="10" spans="2:7" ht="24.95" customHeight="1">
      <c r="B10" s="43" t="s">
        <v>22</v>
      </c>
      <c r="C10" s="43" t="s">
        <v>23</v>
      </c>
      <c r="D10" s="44" t="s">
        <v>24</v>
      </c>
      <c r="E10" s="2">
        <f>E8/E9*10</f>
        <v>0.67266577517123771</v>
      </c>
      <c r="F10" s="100">
        <f>F8/F9*10</f>
        <v>0.57777592669720956</v>
      </c>
      <c r="G10" s="106">
        <v>0.62655458626591254</v>
      </c>
    </row>
    <row r="11" spans="2:7" s="16" customFormat="1" ht="28.5" customHeight="1">
      <c r="B11" s="43" t="s">
        <v>25</v>
      </c>
      <c r="C11" s="44" t="s">
        <v>26</v>
      </c>
      <c r="D11" s="44" t="s">
        <v>24</v>
      </c>
      <c r="E11" s="40">
        <f>'Actual FC &amp; PGCIL &amp; TM Cost'!G16</f>
        <v>1.1720365646280659</v>
      </c>
      <c r="F11" s="102">
        <v>1.05</v>
      </c>
      <c r="G11" s="40">
        <v>1.0792782866052233</v>
      </c>
    </row>
    <row r="12" spans="2:7" ht="18.75" customHeight="1">
      <c r="B12" s="43" t="s">
        <v>27</v>
      </c>
      <c r="C12" s="43" t="s">
        <v>28</v>
      </c>
      <c r="D12" s="44" t="s">
        <v>24</v>
      </c>
      <c r="E12" s="2">
        <f>E10+E11</f>
        <v>1.8447023397993036</v>
      </c>
      <c r="F12" s="100">
        <f>F10+F11</f>
        <v>1.6277759266972096</v>
      </c>
      <c r="G12" s="106">
        <v>1.7058328728711358</v>
      </c>
    </row>
    <row r="13" spans="2:7" ht="33.75" customHeight="1">
      <c r="B13" s="45" t="s">
        <v>29</v>
      </c>
      <c r="C13" s="43" t="s">
        <v>30</v>
      </c>
      <c r="D13" s="44" t="s">
        <v>21</v>
      </c>
      <c r="E13" s="4">
        <v>1922.6773865700002</v>
      </c>
      <c r="F13" s="103">
        <v>1993.2</v>
      </c>
      <c r="G13" s="106">
        <v>1785.4067597699998</v>
      </c>
    </row>
    <row r="14" spans="2:7" ht="36" customHeight="1">
      <c r="B14" s="43" t="s">
        <v>31</v>
      </c>
      <c r="C14" s="47" t="s">
        <v>32</v>
      </c>
      <c r="D14" s="44" t="s">
        <v>10</v>
      </c>
      <c r="E14" s="2">
        <f>E13*E12/10</f>
        <v>354.67674736848892</v>
      </c>
      <c r="F14" s="100">
        <f>F13*F12/10</f>
        <v>324.44829770928783</v>
      </c>
      <c r="G14" s="106">
        <v>304.56055422620045</v>
      </c>
    </row>
    <row r="15" spans="2:7" ht="36" customHeight="1">
      <c r="B15" s="45" t="s">
        <v>33</v>
      </c>
      <c r="C15" s="43" t="s">
        <v>34</v>
      </c>
      <c r="D15" s="44" t="s">
        <v>10</v>
      </c>
      <c r="E15" s="5">
        <v>194.92699833491352</v>
      </c>
      <c r="F15" s="104">
        <v>179.95</v>
      </c>
      <c r="G15" s="106">
        <v>186.89914877081759</v>
      </c>
    </row>
    <row r="16" spans="2:7" ht="24.95" customHeight="1">
      <c r="B16" s="43" t="s">
        <v>36</v>
      </c>
      <c r="C16" s="43" t="s">
        <v>37</v>
      </c>
      <c r="D16" s="44" t="s">
        <v>10</v>
      </c>
      <c r="E16" s="2">
        <f>E15-E14</f>
        <v>-159.7497490335754</v>
      </c>
      <c r="F16" s="100">
        <f>F15-F14</f>
        <v>-144.49829770928784</v>
      </c>
      <c r="G16" s="106">
        <v>-117.66140545538286</v>
      </c>
    </row>
    <row r="17" spans="1:8" ht="24.95" customHeight="1">
      <c r="B17" s="43" t="s">
        <v>38</v>
      </c>
      <c r="C17" s="43" t="s">
        <v>39</v>
      </c>
      <c r="D17" s="44" t="s">
        <v>10</v>
      </c>
      <c r="E17" s="2">
        <f>E7-E16</f>
        <v>210.20442167703263</v>
      </c>
      <c r="F17" s="100">
        <f>F7-F16</f>
        <v>252.54817681811915</v>
      </c>
      <c r="G17" s="106">
        <v>262.16597630213289</v>
      </c>
    </row>
    <row r="18" spans="1:8" s="16" customFormat="1" ht="31.5" customHeight="1">
      <c r="B18" s="45" t="s">
        <v>40</v>
      </c>
      <c r="C18" s="43" t="s">
        <v>41</v>
      </c>
      <c r="D18" s="44" t="s">
        <v>21</v>
      </c>
      <c r="E18" s="15">
        <v>213.28761187000001</v>
      </c>
      <c r="F18" s="98">
        <v>370.34</v>
      </c>
      <c r="G18" s="15">
        <v>645.89654036999991</v>
      </c>
      <c r="H18" s="39"/>
    </row>
    <row r="19" spans="1:8" ht="24.95" customHeight="1">
      <c r="B19" s="43" t="s">
        <v>43</v>
      </c>
      <c r="C19" s="43" t="s">
        <v>44</v>
      </c>
      <c r="D19" s="44" t="s">
        <v>24</v>
      </c>
      <c r="E19" s="14">
        <f>E17/E18*10</f>
        <v>9.8554444786579261</v>
      </c>
      <c r="F19" s="105">
        <f>F17/F18*10</f>
        <v>6.8193599616060698</v>
      </c>
      <c r="G19" s="14">
        <v>4.0589469042820987</v>
      </c>
    </row>
    <row r="20" spans="1:8">
      <c r="F20"/>
    </row>
    <row r="21" spans="1:8">
      <c r="F21"/>
    </row>
    <row r="22" spans="1:8" hidden="1"/>
    <row r="23" spans="1:8" hidden="1">
      <c r="C23" s="1" t="s">
        <v>11</v>
      </c>
      <c r="D23" s="1"/>
    </row>
    <row r="24" spans="1:8" hidden="1">
      <c r="C24" s="1" t="s">
        <v>45</v>
      </c>
      <c r="D24" s="1"/>
    </row>
    <row r="25" spans="1:8" hidden="1"/>
    <row r="26" spans="1:8" hidden="1"/>
    <row r="27" spans="1:8" hidden="1"/>
    <row r="28" spans="1:8" hidden="1">
      <c r="C28" s="1" t="s">
        <v>46</v>
      </c>
      <c r="D28" s="1"/>
    </row>
    <row r="29" spans="1:8" hidden="1">
      <c r="C29" s="1" t="s">
        <v>42</v>
      </c>
      <c r="D29" s="1"/>
    </row>
    <row r="30" spans="1:8" hidden="1">
      <c r="A30" s="9" t="s">
        <v>47</v>
      </c>
      <c r="C30" s="1" t="s">
        <v>48</v>
      </c>
      <c r="D30" s="1"/>
    </row>
    <row r="31" spans="1:8" hidden="1">
      <c r="A31" s="9" t="s">
        <v>49</v>
      </c>
      <c r="C31" s="1" t="s">
        <v>50</v>
      </c>
      <c r="D31" s="1"/>
    </row>
    <row r="32" spans="1:8" hidden="1"/>
    <row r="33" spans="3:4" hidden="1"/>
    <row r="34" spans="3:4" hidden="1"/>
    <row r="35" spans="3:4" hidden="1">
      <c r="C35" s="1" t="s">
        <v>51</v>
      </c>
      <c r="D35" s="1"/>
    </row>
    <row r="36" spans="3:4" hidden="1">
      <c r="C36" s="1" t="s">
        <v>52</v>
      </c>
      <c r="D36" s="1"/>
    </row>
    <row r="37" spans="3:4" hidden="1">
      <c r="C37" s="1" t="s">
        <v>53</v>
      </c>
      <c r="D37" s="1"/>
    </row>
    <row r="38" spans="3:4" hidden="1"/>
    <row r="39" spans="3:4" hidden="1"/>
    <row r="40" spans="3:4" hidden="1"/>
    <row r="41" spans="3:4" hidden="1">
      <c r="C41" s="1" t="s">
        <v>54</v>
      </c>
      <c r="D41" s="1"/>
    </row>
    <row r="42" spans="3:4" hidden="1">
      <c r="C42" s="1" t="s">
        <v>55</v>
      </c>
      <c r="D42" s="1"/>
    </row>
    <row r="43" spans="3:4" hidden="1">
      <c r="C43" s="1" t="s">
        <v>35</v>
      </c>
      <c r="D43" s="1"/>
    </row>
    <row r="44" spans="3:4" hidden="1"/>
    <row r="45" spans="3:4" hidden="1"/>
    <row r="46" spans="3:4" hidden="1"/>
    <row r="47" spans="3:4" hidden="1">
      <c r="C47" s="3" t="s">
        <v>56</v>
      </c>
      <c r="D47" s="1"/>
    </row>
    <row r="48" spans="3:4" hidden="1">
      <c r="C48" s="3" t="s">
        <v>7</v>
      </c>
      <c r="D48" s="1"/>
    </row>
  </sheetData>
  <mergeCells count="2">
    <mergeCell ref="B1:C2"/>
    <mergeCell ref="D1:D2"/>
  </mergeCells>
  <printOptions horizontalCentered="1"/>
  <pageMargins left="0.45" right="0.45" top="0.5" bottom="0.5" header="0" footer="0"/>
  <pageSetup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G13"/>
  <sheetViews>
    <sheetView workbookViewId="0">
      <selection activeCell="G7" sqref="G7"/>
    </sheetView>
  </sheetViews>
  <sheetFormatPr defaultRowHeight="15"/>
  <cols>
    <col min="4" max="6" width="10.5703125" customWidth="1"/>
  </cols>
  <sheetData>
    <row r="3" spans="3:7" s="9" customFormat="1">
      <c r="C3" s="48" t="s">
        <v>122</v>
      </c>
      <c r="D3" s="51" t="s">
        <v>133</v>
      </c>
      <c r="E3" s="51"/>
      <c r="F3" s="51"/>
    </row>
    <row r="4" spans="3:7" s="8" customFormat="1">
      <c r="C4" s="48"/>
      <c r="D4" s="26" t="s">
        <v>131</v>
      </c>
      <c r="E4" s="26" t="s">
        <v>132</v>
      </c>
      <c r="F4" s="26" t="s">
        <v>105</v>
      </c>
    </row>
    <row r="5" spans="3:7" s="24" customFormat="1" hidden="1">
      <c r="C5" s="30" t="s">
        <v>123</v>
      </c>
      <c r="D5" s="29"/>
      <c r="E5" s="29"/>
      <c r="F5" s="31">
        <f>485856564.5/10^6</f>
        <v>485.85656449999999</v>
      </c>
    </row>
    <row r="6" spans="3:7" s="24" customFormat="1" hidden="1">
      <c r="C6" s="30" t="s">
        <v>124</v>
      </c>
      <c r="D6" s="29"/>
      <c r="E6" s="29"/>
      <c r="F6" s="31">
        <f>947768055.5/10^6</f>
        <v>947.76805549999995</v>
      </c>
    </row>
    <row r="7" spans="3:7">
      <c r="C7" s="1" t="s">
        <v>125</v>
      </c>
      <c r="D7" s="27">
        <v>1046.1329619999999</v>
      </c>
      <c r="E7" s="27">
        <v>1113.30503635375</v>
      </c>
      <c r="F7" s="28">
        <f>SUM(D7:E7)</f>
        <v>2159.4379983537501</v>
      </c>
    </row>
    <row r="8" spans="3:7">
      <c r="C8" s="1" t="s">
        <v>126</v>
      </c>
      <c r="D8" s="27">
        <v>1034.2393849999999</v>
      </c>
      <c r="E8" s="27">
        <v>719.495721</v>
      </c>
      <c r="F8" s="28">
        <f t="shared" ref="F8:F12" si="0">SUM(D8:E8)</f>
        <v>1753.7351059999999</v>
      </c>
    </row>
    <row r="9" spans="3:7">
      <c r="C9" s="1" t="s">
        <v>127</v>
      </c>
      <c r="D9" s="27">
        <v>484.28944399999995</v>
      </c>
      <c r="E9" s="27">
        <v>483.57670607</v>
      </c>
      <c r="F9" s="28">
        <f t="shared" si="0"/>
        <v>967.86615007</v>
      </c>
    </row>
    <row r="10" spans="3:7">
      <c r="C10" s="1" t="s">
        <v>128</v>
      </c>
      <c r="D10" s="27">
        <v>669.27946420000001</v>
      </c>
      <c r="E10" s="27">
        <v>859.21150440000019</v>
      </c>
      <c r="F10" s="28">
        <f t="shared" si="0"/>
        <v>1528.4909686000001</v>
      </c>
    </row>
    <row r="11" spans="3:7">
      <c r="C11" s="1" t="s">
        <v>129</v>
      </c>
      <c r="D11" s="27">
        <v>868.04402991000006</v>
      </c>
      <c r="E11" s="27">
        <v>844.10998640000014</v>
      </c>
      <c r="F11" s="28">
        <f t="shared" si="0"/>
        <v>1712.1540163100003</v>
      </c>
    </row>
    <row r="12" spans="3:7">
      <c r="C12" s="1" t="s">
        <v>130</v>
      </c>
      <c r="D12" s="27">
        <v>645.89654036999991</v>
      </c>
      <c r="E12" s="27"/>
      <c r="F12" s="28">
        <f t="shared" si="0"/>
        <v>645.89654036999991</v>
      </c>
    </row>
    <row r="13" spans="3:7">
      <c r="D13" s="17">
        <f>AVERAGE(D7:D12)</f>
        <v>791.31363757999986</v>
      </c>
      <c r="F13" s="17">
        <f>AVERAGE(F7:F11)</f>
        <v>1624.3368478667501</v>
      </c>
      <c r="G13">
        <f>F13/2</f>
        <v>812.16842393337504</v>
      </c>
    </row>
  </sheetData>
  <mergeCells count="2">
    <mergeCell ref="C3:C4"/>
    <mergeCell ref="D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Actual FC &amp; PGCIL &amp; TM Cost</vt:lpstr>
      <vt:lpstr>Abstract Avail&amp;Strand</vt:lpstr>
      <vt:lpstr>Addnl Surcharge 23-24_H2</vt:lpstr>
      <vt:lpstr>OA Sales Trend</vt:lpstr>
      <vt:lpstr>'Actual FC &amp; PGCIL &amp; TM Cost'!Print_Area</vt:lpstr>
      <vt:lpstr>'Addnl Surcharge 23-24_H2'!Print_Area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admin</cp:lastModifiedBy>
  <cp:lastPrinted>2022-11-15T07:33:38Z</cp:lastPrinted>
  <dcterms:created xsi:type="dcterms:W3CDTF">2019-10-25T12:02:31Z</dcterms:created>
  <dcterms:modified xsi:type="dcterms:W3CDTF">2022-11-15T07:34:46Z</dcterms:modified>
</cp:coreProperties>
</file>