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Loan Portfolio" sheetId="2" r:id="rId1"/>
  </sheets>
  <externalReferences>
    <externalReference r:id="rId2"/>
    <externalReference r:id="rId3"/>
  </externalReferences>
  <definedNames>
    <definedName name="_xlnm.Print_Area" localSheetId="0">'Loan Portfolio'!$B$2:$K$58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2" l="1"/>
  <c r="E9" i="2"/>
  <c r="F9" i="2"/>
  <c r="E137" i="2"/>
  <c r="G136" i="2"/>
  <c r="G137" i="2" s="1"/>
  <c r="F136" i="2"/>
  <c r="E136" i="2"/>
  <c r="J135" i="2"/>
  <c r="I135" i="2"/>
  <c r="H134" i="2"/>
  <c r="J134" i="2" s="1"/>
  <c r="H133" i="2"/>
  <c r="J133" i="2" s="1"/>
  <c r="H132" i="2"/>
  <c r="J132" i="2" s="1"/>
  <c r="H131" i="2"/>
  <c r="J131" i="2" s="1"/>
  <c r="I130" i="2"/>
  <c r="H130" i="2"/>
  <c r="J130" i="2" s="1"/>
  <c r="H129" i="2"/>
  <c r="H136" i="2" s="1"/>
  <c r="H128" i="2"/>
  <c r="H137" i="2" s="1"/>
  <c r="G128" i="2"/>
  <c r="F128" i="2"/>
  <c r="F137" i="2" s="1"/>
  <c r="E128" i="2"/>
  <c r="H127" i="2"/>
  <c r="J127" i="2" s="1"/>
  <c r="H126" i="2"/>
  <c r="J126" i="2" s="1"/>
  <c r="I125" i="2"/>
  <c r="H125" i="2"/>
  <c r="J125" i="2" s="1"/>
  <c r="J124" i="2"/>
  <c r="I124" i="2"/>
  <c r="H123" i="2"/>
  <c r="J123" i="2" s="1"/>
  <c r="I122" i="2"/>
  <c r="H122" i="2"/>
  <c r="J122" i="2" s="1"/>
  <c r="E117" i="2"/>
  <c r="G116" i="2"/>
  <c r="F116" i="2"/>
  <c r="E116" i="2"/>
  <c r="I115" i="2"/>
  <c r="H115" i="2"/>
  <c r="J115" i="2" s="1"/>
  <c r="H114" i="2"/>
  <c r="J114" i="2" s="1"/>
  <c r="J113" i="2"/>
  <c r="H113" i="2"/>
  <c r="H112" i="2"/>
  <c r="J112" i="2" s="1"/>
  <c r="H111" i="2"/>
  <c r="H116" i="2" s="1"/>
  <c r="I110" i="2"/>
  <c r="H110" i="2"/>
  <c r="J110" i="2" s="1"/>
  <c r="H109" i="2"/>
  <c r="J109" i="2" s="1"/>
  <c r="G108" i="2"/>
  <c r="G117" i="2" s="1"/>
  <c r="F108" i="2"/>
  <c r="F117" i="2" s="1"/>
  <c r="H107" i="2"/>
  <c r="J107" i="2" s="1"/>
  <c r="H106" i="2"/>
  <c r="J106" i="2" s="1"/>
  <c r="I105" i="2"/>
  <c r="H105" i="2"/>
  <c r="J105" i="2" s="1"/>
  <c r="I104" i="2"/>
  <c r="H104" i="2"/>
  <c r="J104" i="2" s="1"/>
  <c r="J103" i="2"/>
  <c r="H103" i="2"/>
  <c r="I102" i="2"/>
  <c r="H102" i="2"/>
  <c r="H108" i="2" s="1"/>
  <c r="H117" i="2" s="1"/>
  <c r="G96" i="2"/>
  <c r="F96" i="2"/>
  <c r="E96" i="2"/>
  <c r="E97" i="2" s="1"/>
  <c r="I95" i="2"/>
  <c r="H95" i="2"/>
  <c r="J95" i="2" s="1"/>
  <c r="H94" i="2"/>
  <c r="J94" i="2" s="1"/>
  <c r="H93" i="2"/>
  <c r="J93" i="2" s="1"/>
  <c r="H92" i="2"/>
  <c r="J92" i="2" s="1"/>
  <c r="H91" i="2"/>
  <c r="J91" i="2" s="1"/>
  <c r="I90" i="2"/>
  <c r="H90" i="2"/>
  <c r="J90" i="2" s="1"/>
  <c r="H89" i="2"/>
  <c r="H96" i="2" s="1"/>
  <c r="G88" i="2"/>
  <c r="G97" i="2" s="1"/>
  <c r="F88" i="2"/>
  <c r="F97" i="2" s="1"/>
  <c r="H87" i="2"/>
  <c r="J87" i="2" s="1"/>
  <c r="H86" i="2"/>
  <c r="J86" i="2" s="1"/>
  <c r="I85" i="2"/>
  <c r="H85" i="2"/>
  <c r="J85" i="2" s="1"/>
  <c r="I84" i="2"/>
  <c r="H84" i="2"/>
  <c r="J84" i="2" s="1"/>
  <c r="H83" i="2"/>
  <c r="J83" i="2" s="1"/>
  <c r="I82" i="2"/>
  <c r="H82" i="2"/>
  <c r="J82" i="2" s="1"/>
  <c r="E77" i="2"/>
  <c r="G76" i="2"/>
  <c r="F76" i="2"/>
  <c r="E76" i="2"/>
  <c r="I75" i="2"/>
  <c r="H75" i="2"/>
  <c r="J75" i="2" s="1"/>
  <c r="H74" i="2"/>
  <c r="J74" i="2" s="1"/>
  <c r="J73" i="2"/>
  <c r="H73" i="2"/>
  <c r="H72" i="2"/>
  <c r="J72" i="2" s="1"/>
  <c r="H71" i="2"/>
  <c r="H76" i="2" s="1"/>
  <c r="I70" i="2"/>
  <c r="H70" i="2"/>
  <c r="J70" i="2" s="1"/>
  <c r="H69" i="2"/>
  <c r="J69" i="2" s="1"/>
  <c r="G68" i="2"/>
  <c r="G77" i="2" s="1"/>
  <c r="F68" i="2"/>
  <c r="F77" i="2" s="1"/>
  <c r="H67" i="2"/>
  <c r="J67" i="2" s="1"/>
  <c r="H66" i="2"/>
  <c r="J66" i="2" s="1"/>
  <c r="I65" i="2"/>
  <c r="H65" i="2"/>
  <c r="J65" i="2" s="1"/>
  <c r="I64" i="2"/>
  <c r="H64" i="2"/>
  <c r="J64" i="2" s="1"/>
  <c r="J63" i="2"/>
  <c r="H63" i="2"/>
  <c r="I62" i="2"/>
  <c r="H62" i="2"/>
  <c r="H68" i="2" s="1"/>
  <c r="H77" i="2" s="1"/>
  <c r="K56" i="2"/>
  <c r="G56" i="2"/>
  <c r="F56" i="2"/>
  <c r="F57" i="2" s="1"/>
  <c r="E56" i="2"/>
  <c r="E57" i="2" s="1"/>
  <c r="J55" i="2"/>
  <c r="J54" i="2"/>
  <c r="H54" i="2"/>
  <c r="J53" i="2"/>
  <c r="J52" i="2"/>
  <c r="J51" i="2"/>
  <c r="I50" i="2"/>
  <c r="H50" i="2"/>
  <c r="H56" i="2" s="1"/>
  <c r="J49" i="2"/>
  <c r="I49" i="2"/>
  <c r="J48" i="2"/>
  <c r="I48" i="2"/>
  <c r="J47" i="2"/>
  <c r="I47" i="2"/>
  <c r="J46" i="2"/>
  <c r="I46" i="2"/>
  <c r="J45" i="2"/>
  <c r="I45" i="2"/>
  <c r="J44" i="2"/>
  <c r="I44" i="2"/>
  <c r="J43" i="2"/>
  <c r="I43" i="2"/>
  <c r="K42" i="2"/>
  <c r="K57" i="2" s="1"/>
  <c r="H42" i="2"/>
  <c r="H57" i="2" s="1"/>
  <c r="G42" i="2"/>
  <c r="G57" i="2" s="1"/>
  <c r="F42" i="2"/>
  <c r="E42" i="2"/>
  <c r="J41" i="2"/>
  <c r="J40" i="2"/>
  <c r="J39" i="2"/>
  <c r="J38" i="2"/>
  <c r="I38" i="2"/>
  <c r="J37" i="2"/>
  <c r="I37" i="2"/>
  <c r="J36" i="2"/>
  <c r="J35" i="2"/>
  <c r="I35" i="2"/>
  <c r="G28" i="2"/>
  <c r="F28" i="2"/>
  <c r="E28" i="2"/>
  <c r="I27" i="2"/>
  <c r="H27" i="2"/>
  <c r="J27" i="2" s="1"/>
  <c r="J26" i="2"/>
  <c r="H26" i="2"/>
  <c r="H25" i="2"/>
  <c r="J25" i="2" s="1"/>
  <c r="H24" i="2"/>
  <c r="J24" i="2" s="1"/>
  <c r="J23" i="2"/>
  <c r="H23" i="2"/>
  <c r="H22" i="2"/>
  <c r="J22" i="2" s="1"/>
  <c r="H21" i="2"/>
  <c r="H28" i="2" s="1"/>
  <c r="G20" i="2"/>
  <c r="G29" i="2" s="1"/>
  <c r="F20" i="2"/>
  <c r="F29" i="2" s="1"/>
  <c r="E20" i="2"/>
  <c r="E29" i="2" s="1"/>
  <c r="H19" i="2"/>
  <c r="J19" i="2" s="1"/>
  <c r="J18" i="2"/>
  <c r="H18" i="2"/>
  <c r="I17" i="2"/>
  <c r="H17" i="2"/>
  <c r="J17" i="2" s="1"/>
  <c r="I16" i="2"/>
  <c r="H16" i="2"/>
  <c r="J16" i="2" s="1"/>
  <c r="H15" i="2"/>
  <c r="J15" i="2" s="1"/>
  <c r="J14" i="2"/>
  <c r="I14" i="2"/>
  <c r="H14" i="2"/>
  <c r="H20" i="2" s="1"/>
  <c r="K58" i="2" l="1"/>
  <c r="H29" i="2"/>
  <c r="H88" i="2"/>
  <c r="H97" i="2" s="1"/>
  <c r="J21" i="2"/>
  <c r="M14" i="2" s="1"/>
  <c r="M15" i="2" s="1"/>
  <c r="M18" i="2" s="1"/>
  <c r="M20" i="2" s="1"/>
  <c r="J71" i="2"/>
  <c r="J111" i="2"/>
  <c r="J129" i="2"/>
  <c r="R14" i="2" s="1"/>
  <c r="R15" i="2" s="1"/>
  <c r="R18" i="2" s="1"/>
  <c r="J89" i="2"/>
  <c r="P14" i="2" s="1"/>
  <c r="P15" i="2" s="1"/>
  <c r="P18" i="2" s="1"/>
  <c r="J62" i="2"/>
  <c r="J102" i="2"/>
  <c r="J50" i="2"/>
  <c r="N14" i="2" s="1"/>
  <c r="N15" i="2" s="1"/>
  <c r="N18" i="2" s="1"/>
  <c r="F7" i="2" l="1"/>
  <c r="Q14" i="2"/>
  <c r="Q15" i="2" s="1"/>
  <c r="Q18" i="2" s="1"/>
  <c r="M29" i="2"/>
  <c r="O14" i="2"/>
  <c r="O15" i="2" s="1"/>
  <c r="O18" i="2" s="1"/>
</calcChain>
</file>

<file path=xl/sharedStrings.xml><?xml version="1.0" encoding="utf-8"?>
<sst xmlns="http://schemas.openxmlformats.org/spreadsheetml/2006/main" count="216" uniqueCount="70">
  <si>
    <t>FY 24</t>
  </si>
  <si>
    <t>FY 25</t>
  </si>
  <si>
    <t>FY 26</t>
  </si>
  <si>
    <t>FY 27</t>
  </si>
  <si>
    <t>FY 28</t>
  </si>
  <si>
    <t>FY 29</t>
  </si>
  <si>
    <t>Effective Rate of interest for existing loans</t>
  </si>
  <si>
    <t>Effective Rate of interest for New loans</t>
  </si>
  <si>
    <t>Overall Interest rate</t>
  </si>
  <si>
    <t>Long Tem Loan Portfolio</t>
  </si>
  <si>
    <t>Name of lending Instritutions</t>
  </si>
  <si>
    <t>Rate of Interest(%) charged by the lending institution</t>
  </si>
  <si>
    <t>Openining Balance (01.04.2023) (Rs Cr)</t>
  </si>
  <si>
    <t>Drawls (Rs Cr)</t>
  </si>
  <si>
    <t>Repayment (Rs Cr)</t>
  </si>
  <si>
    <t>Closing Balance 31.03.2024 (Rs Cr)</t>
  </si>
  <si>
    <t>Rate of Interest</t>
  </si>
  <si>
    <t>Average of Op &amp; Closing Balance</t>
  </si>
  <si>
    <t>Interest payments</t>
  </si>
  <si>
    <t>REC - Direct</t>
  </si>
  <si>
    <t>10.25 to 11.61</t>
  </si>
  <si>
    <t>PFC -GOI</t>
  </si>
  <si>
    <t>PFC-CPL</t>
  </si>
  <si>
    <t>10.62 to 11.85</t>
  </si>
  <si>
    <t>PFC-IPDS</t>
  </si>
  <si>
    <t>11.1 to 11.6</t>
  </si>
  <si>
    <t>JICA</t>
  </si>
  <si>
    <t>Total</t>
  </si>
  <si>
    <t>Govt. Loans</t>
  </si>
  <si>
    <t>Total Capex Loan</t>
  </si>
  <si>
    <t>Bonds</t>
  </si>
  <si>
    <t>9.95 to 10</t>
  </si>
  <si>
    <t>PTC India</t>
  </si>
  <si>
    <t>11.4 to 11.75</t>
  </si>
  <si>
    <t>REC- Covid</t>
  </si>
  <si>
    <t>PFC - Covid</t>
  </si>
  <si>
    <t>REC - LPS</t>
  </si>
  <si>
    <t>PFC - LPS</t>
  </si>
  <si>
    <t>IREDA</t>
  </si>
  <si>
    <t>10.5 to 11.55</t>
  </si>
  <si>
    <t>WC Total</t>
  </si>
  <si>
    <t>Grand Total</t>
  </si>
  <si>
    <t>FY 24-25</t>
  </si>
  <si>
    <t>Actual Long Tem Loan Portfolio</t>
  </si>
  <si>
    <t>Openining Balance (01.04.2024) (Rs Cr)</t>
  </si>
  <si>
    <t>Closing Balance 31.03.2025 (Rs Cr)</t>
  </si>
  <si>
    <t>Interest paid during the year</t>
  </si>
  <si>
    <t>PFC-FA</t>
  </si>
  <si>
    <t>11.65 to 12</t>
  </si>
  <si>
    <t>10.5 to 10.99</t>
  </si>
  <si>
    <t>TGTRANSCO</t>
  </si>
  <si>
    <t>11.1 to 11.55</t>
  </si>
  <si>
    <t>REC-MTL</t>
  </si>
  <si>
    <t>REC-LPS-RTL</t>
  </si>
  <si>
    <t>REC-RBPF</t>
  </si>
  <si>
    <t>PTC-RBPF</t>
  </si>
  <si>
    <t>PFC-MTL</t>
  </si>
  <si>
    <t>Openining Balance (01.04.2025) (Rs Cr)</t>
  </si>
  <si>
    <t>Closing Balance 31.03.2026 (Rs Cr)</t>
  </si>
  <si>
    <t>Openining Balance (01.04.2026) (Rs Cr)</t>
  </si>
  <si>
    <t>Closing Balance 31.03.2027 (Rs Cr)</t>
  </si>
  <si>
    <t>Openining Balance (01.04.2027) (Rs Cr)</t>
  </si>
  <si>
    <t>Closing Balance 31.03.2028 (Rs Cr)</t>
  </si>
  <si>
    <t>Long Tem Loan Portfolio of TSNPDCL</t>
  </si>
  <si>
    <t>Openining Balance (01.04.2028) (Rs Cr)</t>
  </si>
  <si>
    <t>Closing Balance 31.03.2029 (Rs Cr)</t>
  </si>
  <si>
    <t>FY 25-26</t>
  </si>
  <si>
    <t>FY 26-27</t>
  </si>
  <si>
    <t>Particulars</t>
  </si>
  <si>
    <t>Annexure-VII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</si>
</sst>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%"/>
    <numFmt numFmtId="165" formatCode="_(* #,##0.00_);_(* \(#,##0.00\);_(* &quot;-&quot;??_);_(@_)"/>
    <numFmt numFmtId="166" formatCode="_(* #,##0_);_(* \(#,##0\);_(* &quot;-&quot;??_);_(@_)"/>
    <numFmt numFmtId="167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color rgb="FF00B050"/>
      <name val="Calibri"/>
      <family val="2"/>
      <scheme val="minor"/>
    </font>
    <font>
      <b/>
      <sz val="14"/>
      <name val="Arial"/>
      <family val="2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2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1"/>
    <xf numFmtId="0" fontId="3" fillId="0" borderId="1" xfId="1" applyFont="1" applyBorder="1" applyAlignment="1">
      <alignment horizontal="center"/>
    </xf>
    <xf numFmtId="0" fontId="3" fillId="0" borderId="1" xfId="1" applyFont="1" applyBorder="1"/>
    <xf numFmtId="164" fontId="2" fillId="0" borderId="1" xfId="1" applyNumberFormat="1" applyBorder="1" applyAlignment="1">
      <alignment horizontal="center"/>
    </xf>
    <xf numFmtId="10" fontId="2" fillId="0" borderId="1" xfId="1" applyNumberFormat="1" applyBorder="1" applyAlignment="1">
      <alignment horizontal="center"/>
    </xf>
    <xf numFmtId="10" fontId="2" fillId="2" borderId="1" xfId="1" applyNumberFormat="1" applyFill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/>
    </xf>
    <xf numFmtId="10" fontId="3" fillId="0" borderId="1" xfId="1" applyNumberFormat="1" applyFont="1" applyBorder="1" applyAlignment="1">
      <alignment horizontal="center"/>
    </xf>
    <xf numFmtId="0" fontId="3" fillId="3" borderId="0" xfId="1" applyFont="1" applyFill="1"/>
    <xf numFmtId="0" fontId="1" fillId="0" borderId="1" xfId="1" applyFont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0" fontId="2" fillId="0" borderId="1" xfId="1" applyBorder="1" applyAlignment="1">
      <alignment wrapText="1"/>
    </xf>
    <xf numFmtId="0" fontId="2" fillId="0" borderId="1" xfId="1" applyBorder="1" applyAlignment="1">
      <alignment horizontal="left" wrapText="1"/>
    </xf>
    <xf numFmtId="164" fontId="2" fillId="0" borderId="1" xfId="1" applyNumberFormat="1" applyBorder="1"/>
    <xf numFmtId="0" fontId="2" fillId="0" borderId="1" xfId="1" applyBorder="1" applyAlignment="1">
      <alignment vertical="center"/>
    </xf>
    <xf numFmtId="166" fontId="0" fillId="0" borderId="0" xfId="2" applyNumberFormat="1" applyFont="1"/>
    <xf numFmtId="166" fontId="2" fillId="0" borderId="0" xfId="1" applyNumberFormat="1"/>
    <xf numFmtId="10" fontId="2" fillId="0" borderId="1" xfId="1" applyNumberFormat="1" applyBorder="1"/>
    <xf numFmtId="0" fontId="4" fillId="0" borderId="0" xfId="1" applyFont="1"/>
    <xf numFmtId="0" fontId="1" fillId="0" borderId="1" xfId="1" applyFont="1" applyBorder="1" applyAlignment="1">
      <alignment wrapText="1"/>
    </xf>
    <xf numFmtId="0" fontId="1" fillId="0" borderId="1" xfId="1" applyFont="1" applyBorder="1" applyAlignment="1">
      <alignment horizontal="left" wrapText="1"/>
    </xf>
    <xf numFmtId="165" fontId="2" fillId="0" borderId="0" xfId="1" applyNumberFormat="1"/>
    <xf numFmtId="9" fontId="2" fillId="0" borderId="0" xfId="1" applyNumberFormat="1"/>
    <xf numFmtId="0" fontId="2" fillId="0" borderId="0" xfId="1" applyAlignment="1">
      <alignment vertical="center"/>
    </xf>
    <xf numFmtId="164" fontId="2" fillId="0" borderId="2" xfId="1" applyNumberFormat="1" applyBorder="1"/>
    <xf numFmtId="10" fontId="2" fillId="0" borderId="0" xfId="1" applyNumberFormat="1"/>
    <xf numFmtId="9" fontId="0" fillId="0" borderId="0" xfId="3" applyFont="1"/>
    <xf numFmtId="164" fontId="2" fillId="0" borderId="0" xfId="1" applyNumberFormat="1"/>
    <xf numFmtId="0" fontId="5" fillId="0" borderId="1" xfId="1" applyFont="1" applyBorder="1" applyAlignment="1">
      <alignment wrapText="1"/>
    </xf>
    <xf numFmtId="0" fontId="2" fillId="0" borderId="1" xfId="1" applyFont="1" applyBorder="1" applyAlignment="1">
      <alignment wrapText="1"/>
    </xf>
    <xf numFmtId="0" fontId="2" fillId="0" borderId="1" xfId="1" applyFont="1" applyBorder="1" applyAlignment="1">
      <alignment horizontal="left" wrapText="1"/>
    </xf>
    <xf numFmtId="2" fontId="2" fillId="0" borderId="1" xfId="1" applyNumberFormat="1" applyFont="1" applyBorder="1" applyAlignment="1">
      <alignment horizontal="center" wrapText="1"/>
    </xf>
    <xf numFmtId="9" fontId="2" fillId="0" borderId="1" xfId="1" applyNumberFormat="1" applyBorder="1" applyAlignment="1">
      <alignment horizontal="center"/>
    </xf>
    <xf numFmtId="2" fontId="2" fillId="0" borderId="1" xfId="1" applyNumberFormat="1" applyBorder="1" applyAlignment="1">
      <alignment horizontal="center"/>
    </xf>
    <xf numFmtId="2" fontId="1" fillId="0" borderId="1" xfId="1" applyNumberFormat="1" applyFont="1" applyBorder="1" applyAlignment="1">
      <alignment horizontal="center" wrapText="1"/>
    </xf>
    <xf numFmtId="0" fontId="2" fillId="0" borderId="1" xfId="1" applyBorder="1" applyAlignment="1">
      <alignment horizontal="center"/>
    </xf>
    <xf numFmtId="0" fontId="2" fillId="0" borderId="1" xfId="1" applyBorder="1" applyAlignment="1">
      <alignment vertical="center" wrapText="1"/>
    </xf>
    <xf numFmtId="10" fontId="0" fillId="0" borderId="1" xfId="3" applyNumberFormat="1" applyFont="1" applyBorder="1" applyAlignment="1">
      <alignment horizontal="center" wrapText="1"/>
    </xf>
    <xf numFmtId="9" fontId="0" fillId="0" borderId="1" xfId="3" applyFont="1" applyBorder="1" applyAlignment="1">
      <alignment horizontal="center"/>
    </xf>
    <xf numFmtId="0" fontId="1" fillId="0" borderId="1" xfId="1" applyFont="1" applyBorder="1" applyAlignment="1">
      <alignment horizontal="center" wrapText="1"/>
    </xf>
    <xf numFmtId="9" fontId="2" fillId="0" borderId="1" xfId="1" applyNumberFormat="1" applyBorder="1"/>
    <xf numFmtId="0" fontId="2" fillId="0" borderId="1" xfId="1" applyBorder="1"/>
    <xf numFmtId="0" fontId="4" fillId="0" borderId="1" xfId="1" applyFont="1" applyBorder="1"/>
    <xf numFmtId="0" fontId="6" fillId="0" borderId="0" xfId="1" applyFont="1"/>
    <xf numFmtId="0" fontId="3" fillId="4" borderId="0" xfId="1" applyFont="1" applyFill="1"/>
    <xf numFmtId="167" fontId="1" fillId="0" borderId="1" xfId="1" applyNumberFormat="1" applyFont="1" applyBorder="1" applyAlignment="1">
      <alignment horizontal="center" wrapText="1"/>
    </xf>
    <xf numFmtId="0" fontId="1" fillId="0" borderId="1" xfId="1" applyFont="1" applyBorder="1" applyAlignment="1">
      <alignment horizontal="left" wrapText="1"/>
    </xf>
    <xf numFmtId="0" fontId="7" fillId="4" borderId="1" xfId="1" applyFont="1" applyFill="1" applyBorder="1" applyAlignment="1">
      <alignment horizontal="left" wrapText="1"/>
    </xf>
    <xf numFmtId="0" fontId="2" fillId="0" borderId="1" xfId="1" applyFill="1" applyBorder="1" applyAlignment="1">
      <alignment vertical="center" wrapText="1"/>
    </xf>
    <xf numFmtId="0" fontId="2" fillId="0" borderId="1" xfId="1" applyFill="1" applyBorder="1" applyAlignment="1">
      <alignment horizontal="left" vertical="center" wrapText="1"/>
    </xf>
    <xf numFmtId="0" fontId="2" fillId="0" borderId="1" xfId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2" fontId="2" fillId="0" borderId="1" xfId="1" applyNumberFormat="1" applyFont="1" applyFill="1" applyBorder="1" applyAlignment="1">
      <alignment horizontal="center" wrapText="1"/>
    </xf>
    <xf numFmtId="10" fontId="1" fillId="0" borderId="0" xfId="3" applyNumberFormat="1" applyFont="1" applyAlignment="1">
      <alignment horizontal="center"/>
    </xf>
  </cellXfs>
  <cellStyles count="4">
    <cellStyle name="Comma 2" xfId="2"/>
    <cellStyle name="Normal" xfId="0" builtinId="0"/>
    <cellStyle name="Normal 2" xfId="1"/>
    <cellStyle name="Percent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3%20ARR%202026-27\2%20NPDCL%20ARR%202026-27%20Working\DB%20ARR%2026-27\DB%20ARR%2026-27%20&amp;%20True-up%20working%2024-25\2%2026-27%20DB%20ARR%20working\DB%20ARR%202026-27%20filed\TGNPDCL-Distribution-MYT%20formats%2026-27%20workin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0D62F91\SPDCL-Distribution-MYT%20formats%205th%20CP-VBR_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Input Sheet"/>
      <sheetName val="Dist ARR"/>
      <sheetName val="Int on Working cap"/>
      <sheetName val="RoE"/>
      <sheetName val="True Up and True Down"/>
      <sheetName val="GFA &amp; Dep-MYT 5th Control"/>
      <sheetName val="Voltage wise FA from SAP"/>
      <sheetName val="Interest cost"/>
      <sheetName val="Employee Cost"/>
      <sheetName val="Employee Cost (Abridged)"/>
      <sheetName val="Capex Summary 5th MYT"/>
      <sheetName val="Investment for 5th MYT"/>
      <sheetName val="NTI Proj"/>
      <sheetName val="Loan Portfolio"/>
      <sheetName val="Open Access"/>
      <sheetName val="Claim vs Approved Depreciation"/>
      <sheetName val="Int cost 5th MYT (2)"/>
      <sheetName val="Existing Loans Details"/>
      <sheetName val="Working for O&amp;M"/>
      <sheetName val="For Wheeling"/>
      <sheetName val="Sheet3 (2)"/>
      <sheetName val="Status"/>
      <sheetName val="Existing loans Repayment &amp;Int"/>
      <sheetName val="Load for Wheeling "/>
      <sheetName val="Proposed Assets as per Invest"/>
      <sheetName val="Working for 1.1d"/>
      <sheetName val="Form 1.2"/>
      <sheetName val="Form 1.1"/>
      <sheetName val="Form 1.1j"/>
      <sheetName val="Form 1.1k"/>
      <sheetName val="Form 1.1d"/>
      <sheetName val="Form 1.1 g(i)"/>
      <sheetName val="Form 1.1a"/>
      <sheetName val="Form 1.1b"/>
      <sheetName val="Form 1.1g"/>
      <sheetName val="Form 1.1 c"/>
      <sheetName val="Form 1.1e"/>
      <sheetName val="Form 1.1n"/>
      <sheetName val="Form 1.0"/>
      <sheetName val="Form 1a"/>
      <sheetName val="Form 1c"/>
      <sheetName val="Form 1b"/>
      <sheetName val="Form 1.1h"/>
      <sheetName val="Form 1.3"/>
      <sheetName val="Form 1.3a"/>
      <sheetName val="Form 1.3(i)"/>
      <sheetName val="Form 1.3 i"/>
      <sheetName val="Form 3.3"/>
      <sheetName val="Form 7.0"/>
      <sheetName val="Form 8"/>
      <sheetName val="Form 9"/>
      <sheetName val="NTI"/>
      <sheetName val="Form 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3">
          <cell r="D13">
            <v>0</v>
          </cell>
          <cell r="E13">
            <v>343.4966196459286</v>
          </cell>
          <cell r="F13">
            <v>364.70395206612943</v>
          </cell>
          <cell r="G13">
            <v>400.0038589164036</v>
          </cell>
          <cell r="H13">
            <v>493.20107819385521</v>
          </cell>
          <cell r="I13">
            <v>612.78039909709923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Wheeling Charges"/>
      <sheetName val="InputSheet"/>
      <sheetName val="Dist ARR"/>
      <sheetName val="Int on Working cap"/>
      <sheetName val="GFA &amp; Dep-MYT 5th Control"/>
      <sheetName val="Capex Summary 5th MYT"/>
      <sheetName val="Capex Summary inputs"/>
      <sheetName val="Investment for 5th MYT"/>
      <sheetName val="True Up &amp; True Down"/>
      <sheetName val="Employee Cost"/>
      <sheetName val="Interest cost"/>
      <sheetName val="Voltage wise FA from SAP"/>
      <sheetName val="RoE"/>
      <sheetName val="NTI proj"/>
      <sheetName val="Loan Portfolio"/>
      <sheetName val="Open Access"/>
      <sheetName val="Internal Discussion Notes"/>
      <sheetName val="Claim vs Approved Depreciation"/>
      <sheetName val="Base Capex"/>
      <sheetName val="SP NTI"/>
      <sheetName val="New Loans 5th MYT"/>
      <sheetName val="NTI"/>
      <sheetName val="Load for Wheeling "/>
      <sheetName val="Working for O&amp;M"/>
      <sheetName val="For Wheeling"/>
      <sheetName val="Sheet3 (2)"/>
      <sheetName val="Status"/>
      <sheetName val="Existing loans Repayment &amp;Int"/>
      <sheetName val="Proposed Assets as per Invest"/>
      <sheetName val="Working for 1.1d"/>
      <sheetName val="Form 1.2"/>
      <sheetName val="Form 1.1"/>
      <sheetName val="Form 1.1j"/>
      <sheetName val="Form 1.1k"/>
      <sheetName val="Form 1.1d"/>
      <sheetName val="Form 1.1 g(i)"/>
      <sheetName val="Form 1.1a"/>
      <sheetName val="Form 1.1b"/>
      <sheetName val="Existing Loans Details"/>
      <sheetName val="Form 1.1g"/>
      <sheetName val="Form 1.1 c"/>
      <sheetName val="Form 1.1e"/>
      <sheetName val="Form 1.1n"/>
      <sheetName val="Form 1.0"/>
      <sheetName val="Form 1a"/>
      <sheetName val="Form 1c"/>
      <sheetName val="Form 1b"/>
      <sheetName val="Form 1.1h"/>
      <sheetName val="Form 1.3"/>
      <sheetName val="Form 1.3a"/>
      <sheetName val="Form 1.3(i)"/>
      <sheetName val="Form 1.3 i"/>
      <sheetName val="Form 3.3"/>
      <sheetName val="Form 7.0"/>
      <sheetName val="Form 8"/>
      <sheetName val="Form 9"/>
      <sheetName val="Form 10"/>
      <sheetName val="Sheet1"/>
      <sheetName val="Sheet2"/>
      <sheetName val="Sheet3"/>
    </sheetNames>
    <sheetDataSet>
      <sheetData sheetId="0"/>
      <sheetData sheetId="1"/>
      <sheetData sheetId="2"/>
      <sheetData sheetId="3">
        <row r="5">
          <cell r="G5">
            <v>3152.0970000000002</v>
          </cell>
        </row>
      </sheetData>
      <sheetData sheetId="4"/>
      <sheetData sheetId="5">
        <row r="3">
          <cell r="C3">
            <v>20432.528639337001</v>
          </cell>
        </row>
      </sheetData>
      <sheetData sheetId="6"/>
      <sheetData sheetId="7"/>
      <sheetData sheetId="8"/>
      <sheetData sheetId="9"/>
      <sheetData sheetId="10">
        <row r="18">
          <cell r="H18">
            <v>4786.9913056899995</v>
          </cell>
        </row>
      </sheetData>
      <sheetData sheetId="11">
        <row r="17">
          <cell r="D17">
            <v>1159.5280655631955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R139"/>
  <sheetViews>
    <sheetView showGridLines="0" tabSelected="1" zoomScale="55" zoomScaleNormal="55" workbookViewId="0">
      <selection activeCell="Q34" sqref="Q34"/>
    </sheetView>
  </sheetViews>
  <sheetFormatPr defaultRowHeight="13.2" x14ac:dyDescent="0.25"/>
  <cols>
    <col min="1" max="1" width="8.88671875" style="1"/>
    <col min="2" max="2" width="36.109375" style="1" customWidth="1"/>
    <col min="3" max="3" width="21.6640625" style="1" customWidth="1"/>
    <col min="4" max="4" width="17.44140625" style="1" customWidth="1"/>
    <col min="5" max="5" width="14.6640625" style="1" customWidth="1"/>
    <col min="6" max="6" width="12.77734375" style="1" customWidth="1"/>
    <col min="7" max="7" width="12.109375" style="1" customWidth="1"/>
    <col min="8" max="8" width="16.5546875" style="1" customWidth="1"/>
    <col min="9" max="9" width="8.88671875" style="1"/>
    <col min="10" max="10" width="10.88671875" style="1" customWidth="1"/>
    <col min="11" max="11" width="11.6640625" style="1" customWidth="1"/>
    <col min="12" max="16384" width="8.88671875" style="1"/>
  </cols>
  <sheetData>
    <row r="2" spans="2:18" ht="17.399999999999999" x14ac:dyDescent="0.3">
      <c r="D2" s="44" t="s">
        <v>69</v>
      </c>
    </row>
    <row r="6" spans="2:18" x14ac:dyDescent="0.25">
      <c r="B6" s="3" t="s">
        <v>68</v>
      </c>
      <c r="C6" s="2"/>
      <c r="D6" s="2"/>
      <c r="E6" s="2" t="s">
        <v>66</v>
      </c>
      <c r="F6" s="2" t="s">
        <v>67</v>
      </c>
      <c r="G6" s="2"/>
      <c r="H6" s="2"/>
    </row>
    <row r="7" spans="2:18" x14ac:dyDescent="0.25">
      <c r="B7" s="43" t="s">
        <v>6</v>
      </c>
      <c r="C7" s="4"/>
      <c r="D7" s="5"/>
      <c r="E7" s="5">
        <f>$K$58</f>
        <v>0.10260424963927788</v>
      </c>
      <c r="F7" s="5">
        <f t="shared" ref="F7" si="0">$K$58</f>
        <v>0.10260424963927788</v>
      </c>
      <c r="G7" s="5"/>
      <c r="H7" s="5"/>
    </row>
    <row r="8" spans="2:18" x14ac:dyDescent="0.25">
      <c r="B8" s="43" t="s">
        <v>7</v>
      </c>
      <c r="C8" s="6"/>
      <c r="D8" s="6"/>
      <c r="E8" s="6">
        <v>0.1125</v>
      </c>
      <c r="F8" s="6">
        <v>0.1125</v>
      </c>
      <c r="G8" s="6"/>
      <c r="H8" s="6"/>
    </row>
    <row r="9" spans="2:18" x14ac:dyDescent="0.25">
      <c r="B9" s="3" t="s">
        <v>8</v>
      </c>
      <c r="C9" s="7"/>
      <c r="D9" s="8"/>
      <c r="E9" s="8">
        <f t="shared" ref="E9:F9" si="1">AVERAGE(E7:E8)</f>
        <v>0.10755212481963894</v>
      </c>
      <c r="F9" s="8">
        <f t="shared" si="1"/>
        <v>0.10755212481963894</v>
      </c>
      <c r="G9" s="8"/>
      <c r="H9" s="8"/>
    </row>
    <row r="11" spans="2:18" hidden="1" x14ac:dyDescent="0.25">
      <c r="C11" s="9" t="s">
        <v>0</v>
      </c>
      <c r="D11" s="9"/>
      <c r="E11" s="9"/>
      <c r="F11" s="9"/>
      <c r="G11" s="9"/>
      <c r="H11" s="9"/>
    </row>
    <row r="12" spans="2:18" ht="14.4" hidden="1" x14ac:dyDescent="0.3">
      <c r="C12" s="47" t="s">
        <v>9</v>
      </c>
      <c r="D12" s="47"/>
      <c r="E12" s="47"/>
      <c r="F12" s="47"/>
      <c r="G12" s="47"/>
      <c r="H12" s="47"/>
    </row>
    <row r="13" spans="2:18" ht="57.6" hidden="1" x14ac:dyDescent="0.25">
      <c r="C13" s="10" t="s">
        <v>10</v>
      </c>
      <c r="D13" s="10" t="s">
        <v>11</v>
      </c>
      <c r="E13" s="10" t="s">
        <v>12</v>
      </c>
      <c r="F13" s="10" t="s">
        <v>13</v>
      </c>
      <c r="G13" s="10" t="s">
        <v>14</v>
      </c>
      <c r="H13" s="10" t="s">
        <v>15</v>
      </c>
      <c r="I13" s="10" t="s">
        <v>16</v>
      </c>
      <c r="J13" s="10" t="s">
        <v>17</v>
      </c>
      <c r="L13" s="11" t="s">
        <v>18</v>
      </c>
      <c r="M13" s="11" t="s">
        <v>0</v>
      </c>
      <c r="N13" s="11" t="s">
        <v>1</v>
      </c>
      <c r="O13" s="11" t="s">
        <v>2</v>
      </c>
      <c r="P13" s="11" t="s">
        <v>3</v>
      </c>
      <c r="Q13" s="11" t="s">
        <v>4</v>
      </c>
      <c r="R13" s="11" t="s">
        <v>5</v>
      </c>
    </row>
    <row r="14" spans="2:18" ht="14.4" hidden="1" x14ac:dyDescent="0.3">
      <c r="C14" s="12" t="s">
        <v>19</v>
      </c>
      <c r="D14" s="13" t="s">
        <v>20</v>
      </c>
      <c r="E14" s="12">
        <v>1725.97</v>
      </c>
      <c r="F14" s="12">
        <v>422.2</v>
      </c>
      <c r="G14" s="12">
        <v>203.28</v>
      </c>
      <c r="H14" s="12">
        <f>E14+F14-G14</f>
        <v>1944.89</v>
      </c>
      <c r="I14" s="14">
        <f>AVERAGE(10.25%,11.61%)</f>
        <v>0.10929999999999999</v>
      </c>
      <c r="J14" s="15">
        <f>AVERAGE(E14,H14)</f>
        <v>1835.43</v>
      </c>
      <c r="M14" s="16">
        <f>SUMPRODUCT(I14:I27,J14:J27)</f>
        <v>1132.9401374999998</v>
      </c>
      <c r="N14" s="16">
        <f>SUMPRODUCT(I35:I55,J35:J55)</f>
        <v>1935.584492998375</v>
      </c>
      <c r="O14" s="16">
        <f>SUMPRODUCT(I62:I75,J62:J75)</f>
        <v>1043.5298755000001</v>
      </c>
      <c r="P14" s="16">
        <f>SUMPRODUCT(I82:I95,J82:J95)</f>
        <v>876.07383250000009</v>
      </c>
      <c r="Q14" s="16">
        <f>SUMPRODUCT(I102:I115,J102:J115)</f>
        <v>708.32062449999989</v>
      </c>
      <c r="R14" s="16">
        <f>SUMPRODUCT(I122:I135,J122:J135)</f>
        <v>553.78849750000006</v>
      </c>
    </row>
    <row r="15" spans="2:18" hidden="1" x14ac:dyDescent="0.25">
      <c r="C15" s="12" t="s">
        <v>21</v>
      </c>
      <c r="D15" s="13">
        <v>9</v>
      </c>
      <c r="E15" s="12">
        <v>8.26</v>
      </c>
      <c r="F15" s="12">
        <v>0</v>
      </c>
      <c r="G15" s="12">
        <v>0.89</v>
      </c>
      <c r="H15" s="12">
        <f t="shared" ref="H15:H27" si="2">E15+F15-G15</f>
        <v>7.37</v>
      </c>
      <c r="I15" s="14">
        <v>0.09</v>
      </c>
      <c r="J15" s="15">
        <f>AVERAGE(E15,H15)</f>
        <v>7.8149999999999995</v>
      </c>
      <c r="M15" s="17">
        <f>M14-'[1]Interest cost'!D13</f>
        <v>1132.9401374999998</v>
      </c>
      <c r="N15" s="17">
        <f>N14-'[1]Interest cost'!E13</f>
        <v>1592.0878733524464</v>
      </c>
      <c r="O15" s="17">
        <f>O14-'[1]Interest cost'!F13</f>
        <v>678.82592343387068</v>
      </c>
      <c r="P15" s="17">
        <f>P14-'[1]Interest cost'!G13</f>
        <v>476.06997358359649</v>
      </c>
      <c r="Q15" s="17">
        <f>Q14-'[1]Interest cost'!H13</f>
        <v>215.11954630614468</v>
      </c>
      <c r="R15" s="17">
        <f>R14-'[1]Interest cost'!I13</f>
        <v>-58.991901597099172</v>
      </c>
    </row>
    <row r="16" spans="2:18" hidden="1" x14ac:dyDescent="0.25">
      <c r="C16" s="12" t="s">
        <v>22</v>
      </c>
      <c r="D16" s="13" t="s">
        <v>23</v>
      </c>
      <c r="E16" s="12">
        <v>43.24</v>
      </c>
      <c r="F16" s="12">
        <v>0</v>
      </c>
      <c r="G16" s="12">
        <v>7.86</v>
      </c>
      <c r="H16" s="12">
        <f t="shared" si="2"/>
        <v>35.380000000000003</v>
      </c>
      <c r="I16" s="14">
        <f>AVERAGE(10.62%,11.85%)</f>
        <v>0.11234999999999999</v>
      </c>
      <c r="J16" s="15">
        <f t="shared" ref="J16:J19" si="3">AVERAGE(E16,H16)</f>
        <v>39.31</v>
      </c>
    </row>
    <row r="17" spans="3:18" hidden="1" x14ac:dyDescent="0.25">
      <c r="C17" s="12" t="s">
        <v>24</v>
      </c>
      <c r="D17" s="13" t="s">
        <v>25</v>
      </c>
      <c r="E17" s="12">
        <v>54.02</v>
      </c>
      <c r="F17" s="12">
        <v>0</v>
      </c>
      <c r="G17" s="12">
        <v>4.7</v>
      </c>
      <c r="H17" s="12">
        <f t="shared" si="2"/>
        <v>49.32</v>
      </c>
      <c r="I17" s="14">
        <f>AVERAGE(11.1%,11.6%)</f>
        <v>0.11349999999999999</v>
      </c>
      <c r="J17" s="15">
        <f t="shared" si="3"/>
        <v>51.67</v>
      </c>
    </row>
    <row r="18" spans="3:18" hidden="1" x14ac:dyDescent="0.25">
      <c r="C18" s="12" t="s">
        <v>26</v>
      </c>
      <c r="D18" s="13">
        <v>0.65</v>
      </c>
      <c r="E18" s="12">
        <v>351.28</v>
      </c>
      <c r="F18" s="12">
        <v>0</v>
      </c>
      <c r="G18" s="12">
        <v>0</v>
      </c>
      <c r="H18" s="12">
        <f t="shared" si="2"/>
        <v>351.28</v>
      </c>
      <c r="I18" s="18">
        <v>6.4999999999999997E-3</v>
      </c>
      <c r="J18" s="15">
        <f t="shared" si="3"/>
        <v>351.28</v>
      </c>
      <c r="L18" s="19" t="s">
        <v>27</v>
      </c>
      <c r="M18" s="17">
        <f>M15+'[2]Interest cost'!$D$17</f>
        <v>2292.4682030631952</v>
      </c>
      <c r="N18" s="17">
        <f>N15+'[2]Interest cost'!$D$17</f>
        <v>2751.6159389156419</v>
      </c>
      <c r="O18" s="17">
        <f>O15+'[2]Interest cost'!$D$17</f>
        <v>1838.3539889970662</v>
      </c>
      <c r="P18" s="17">
        <f>P15+'[2]Interest cost'!$D$17</f>
        <v>1635.598039146792</v>
      </c>
      <c r="Q18" s="17">
        <f>Q15+'[2]Interest cost'!$D$17</f>
        <v>1374.6476118693402</v>
      </c>
      <c r="R18" s="17">
        <f>R15+'[2]Interest cost'!$D$17</f>
        <v>1100.5361639660964</v>
      </c>
    </row>
    <row r="19" spans="3:18" hidden="1" x14ac:dyDescent="0.25">
      <c r="C19" s="12" t="s">
        <v>28</v>
      </c>
      <c r="D19" s="13">
        <v>1</v>
      </c>
      <c r="E19" s="12">
        <v>6.07</v>
      </c>
      <c r="F19" s="12">
        <v>0</v>
      </c>
      <c r="G19" s="12">
        <v>0</v>
      </c>
      <c r="H19" s="12">
        <f t="shared" si="2"/>
        <v>6.07</v>
      </c>
      <c r="I19" s="14">
        <v>0.01</v>
      </c>
      <c r="J19" s="15">
        <f t="shared" si="3"/>
        <v>6.07</v>
      </c>
    </row>
    <row r="20" spans="3:18" ht="14.4" hidden="1" x14ac:dyDescent="0.3">
      <c r="C20" s="20" t="s">
        <v>29</v>
      </c>
      <c r="D20" s="21"/>
      <c r="E20" s="20">
        <f>SUM(E14:E19)</f>
        <v>2188.84</v>
      </c>
      <c r="F20" s="20">
        <f>SUM(F14:F19)</f>
        <v>422.2</v>
      </c>
      <c r="G20" s="20">
        <f>SUM(G14:G19)</f>
        <v>216.73</v>
      </c>
      <c r="H20" s="20">
        <f>SUM(H14:H19)</f>
        <v>2394.31</v>
      </c>
      <c r="M20" s="22">
        <f>M18/12</f>
        <v>191.03901692193293</v>
      </c>
    </row>
    <row r="21" spans="3:18" hidden="1" x14ac:dyDescent="0.25">
      <c r="C21" s="12" t="s">
        <v>30</v>
      </c>
      <c r="D21" s="13" t="s">
        <v>31</v>
      </c>
      <c r="E21" s="12">
        <v>924.02</v>
      </c>
      <c r="F21" s="12">
        <v>0</v>
      </c>
      <c r="G21" s="12">
        <v>0</v>
      </c>
      <c r="H21" s="12">
        <f t="shared" si="2"/>
        <v>924.02</v>
      </c>
      <c r="I21" s="23">
        <v>0.1</v>
      </c>
      <c r="J21" s="24">
        <f>AVERAGE(E21,H21)</f>
        <v>924.02</v>
      </c>
    </row>
    <row r="22" spans="3:18" hidden="1" x14ac:dyDescent="0.25">
      <c r="C22" s="12" t="s">
        <v>32</v>
      </c>
      <c r="D22" s="13" t="s">
        <v>33</v>
      </c>
      <c r="E22" s="12">
        <v>247.8</v>
      </c>
      <c r="F22" s="12">
        <v>0</v>
      </c>
      <c r="G22" s="12">
        <v>36.159999999999997</v>
      </c>
      <c r="H22" s="12">
        <f t="shared" si="2"/>
        <v>211.64000000000001</v>
      </c>
      <c r="I22" s="25">
        <v>0.11749999999999999</v>
      </c>
      <c r="J22" s="24">
        <f t="shared" ref="J22:J27" si="4">AVERAGE(E22,H22)</f>
        <v>229.72000000000003</v>
      </c>
    </row>
    <row r="23" spans="3:18" hidden="1" x14ac:dyDescent="0.25">
      <c r="C23" s="12" t="s">
        <v>34</v>
      </c>
      <c r="D23" s="13">
        <v>9.75</v>
      </c>
      <c r="E23" s="12">
        <v>2727.5</v>
      </c>
      <c r="F23" s="12">
        <v>0</v>
      </c>
      <c r="G23" s="12">
        <v>259.76</v>
      </c>
      <c r="H23" s="12">
        <f t="shared" si="2"/>
        <v>2467.7399999999998</v>
      </c>
      <c r="I23" s="26">
        <v>9.7500000000000003E-2</v>
      </c>
      <c r="J23" s="24">
        <f t="shared" si="4"/>
        <v>2597.62</v>
      </c>
    </row>
    <row r="24" spans="3:18" hidden="1" x14ac:dyDescent="0.25">
      <c r="C24" s="12" t="s">
        <v>35</v>
      </c>
      <c r="D24" s="13">
        <v>9.75</v>
      </c>
      <c r="E24" s="12">
        <v>2716.91</v>
      </c>
      <c r="F24" s="12">
        <v>0</v>
      </c>
      <c r="G24" s="12">
        <v>211.07</v>
      </c>
      <c r="H24" s="12">
        <f t="shared" si="2"/>
        <v>2505.8399999999997</v>
      </c>
      <c r="I24" s="26">
        <v>9.7500000000000003E-2</v>
      </c>
      <c r="J24" s="24">
        <f t="shared" si="4"/>
        <v>2611.375</v>
      </c>
    </row>
    <row r="25" spans="3:18" hidden="1" x14ac:dyDescent="0.25">
      <c r="C25" s="12" t="s">
        <v>36</v>
      </c>
      <c r="D25" s="13">
        <v>10</v>
      </c>
      <c r="E25" s="12">
        <v>637.05999999999995</v>
      </c>
      <c r="F25" s="12">
        <v>585.5</v>
      </c>
      <c r="G25" s="12">
        <v>0</v>
      </c>
      <c r="H25" s="12">
        <f t="shared" si="2"/>
        <v>1222.56</v>
      </c>
      <c r="I25" s="23">
        <v>0.1</v>
      </c>
      <c r="J25" s="24">
        <f t="shared" si="4"/>
        <v>929.81</v>
      </c>
    </row>
    <row r="26" spans="3:18" hidden="1" x14ac:dyDescent="0.25">
      <c r="C26" s="12" t="s">
        <v>37</v>
      </c>
      <c r="D26" s="13">
        <v>10</v>
      </c>
      <c r="E26" s="12">
        <v>637.05999999999995</v>
      </c>
      <c r="F26" s="12">
        <v>585.5</v>
      </c>
      <c r="G26" s="12">
        <v>0</v>
      </c>
      <c r="H26" s="12">
        <f t="shared" si="2"/>
        <v>1222.56</v>
      </c>
      <c r="I26" s="23">
        <v>0.1</v>
      </c>
      <c r="J26" s="24">
        <f t="shared" si="4"/>
        <v>929.81</v>
      </c>
    </row>
    <row r="27" spans="3:18" ht="14.4" hidden="1" x14ac:dyDescent="0.3">
      <c r="C27" s="12" t="s">
        <v>38</v>
      </c>
      <c r="D27" s="13" t="s">
        <v>39</v>
      </c>
      <c r="E27" s="12">
        <v>654.66</v>
      </c>
      <c r="F27" s="12">
        <v>1000</v>
      </c>
      <c r="G27" s="12">
        <v>390.66</v>
      </c>
      <c r="H27" s="12">
        <f t="shared" si="2"/>
        <v>1263.9999999999998</v>
      </c>
      <c r="I27" s="27">
        <f>AVERAGE(10.5%,11.55%)</f>
        <v>0.11025</v>
      </c>
      <c r="J27" s="24">
        <f t="shared" si="4"/>
        <v>959.32999999999993</v>
      </c>
    </row>
    <row r="28" spans="3:18" ht="14.4" hidden="1" x14ac:dyDescent="0.3">
      <c r="C28" s="20" t="s">
        <v>40</v>
      </c>
      <c r="D28" s="21"/>
      <c r="E28" s="20">
        <f>SUM(E21:E27)</f>
        <v>8545.0099999999984</v>
      </c>
      <c r="F28" s="20">
        <f>SUM(F21:F27)</f>
        <v>2171</v>
      </c>
      <c r="G28" s="20">
        <f>SUM(G21:G27)</f>
        <v>897.65</v>
      </c>
      <c r="H28" s="20">
        <f>SUM(H21:H27)</f>
        <v>9818.3599999999988</v>
      </c>
      <c r="I28" s="28"/>
    </row>
    <row r="29" spans="3:18" ht="14.4" hidden="1" x14ac:dyDescent="0.3">
      <c r="C29" s="20" t="s">
        <v>41</v>
      </c>
      <c r="D29" s="21"/>
      <c r="E29" s="20">
        <f>E20+E28</f>
        <v>10733.849999999999</v>
      </c>
      <c r="F29" s="20">
        <f>F20+F28</f>
        <v>2593.1999999999998</v>
      </c>
      <c r="G29" s="20">
        <f>G20+G28</f>
        <v>1114.3799999999999</v>
      </c>
      <c r="H29" s="29">
        <f>H20+H28</f>
        <v>12212.669999999998</v>
      </c>
      <c r="M29" s="5">
        <f>SUMPRODUCT(I14:I27,J14:J27)/SUM(J14:J27)</f>
        <v>9.8746139937559138E-2</v>
      </c>
    </row>
    <row r="32" spans="3:18" x14ac:dyDescent="0.25">
      <c r="C32" s="45" t="s">
        <v>42</v>
      </c>
      <c r="D32" s="45"/>
      <c r="E32" s="45"/>
      <c r="F32" s="45"/>
      <c r="G32" s="45"/>
      <c r="H32" s="45"/>
    </row>
    <row r="33" spans="3:11" ht="14.4" x14ac:dyDescent="0.3">
      <c r="C33" s="48" t="s">
        <v>43</v>
      </c>
      <c r="D33" s="48"/>
      <c r="E33" s="48"/>
      <c r="F33" s="48"/>
      <c r="G33" s="48"/>
      <c r="H33" s="48"/>
    </row>
    <row r="34" spans="3:11" ht="57.6" x14ac:dyDescent="0.25">
      <c r="C34" s="10" t="s">
        <v>10</v>
      </c>
      <c r="D34" s="10" t="s">
        <v>11</v>
      </c>
      <c r="E34" s="10" t="s">
        <v>44</v>
      </c>
      <c r="F34" s="10" t="s">
        <v>13</v>
      </c>
      <c r="G34" s="10" t="s">
        <v>14</v>
      </c>
      <c r="H34" s="10" t="s">
        <v>45</v>
      </c>
      <c r="I34" s="10" t="s">
        <v>16</v>
      </c>
      <c r="J34" s="10" t="s">
        <v>17</v>
      </c>
      <c r="K34" s="10" t="s">
        <v>46</v>
      </c>
    </row>
    <row r="35" spans="3:11" x14ac:dyDescent="0.25">
      <c r="C35" s="30" t="s">
        <v>19</v>
      </c>
      <c r="D35" s="31" t="s">
        <v>20</v>
      </c>
      <c r="E35" s="32">
        <v>1944.89</v>
      </c>
      <c r="F35" s="32">
        <v>381.26</v>
      </c>
      <c r="G35" s="32">
        <v>304.14999999999998</v>
      </c>
      <c r="H35" s="32">
        <v>2022</v>
      </c>
      <c r="I35" s="33">
        <f>AVERAGE(10.25%,11.61%)</f>
        <v>0.10929999999999999</v>
      </c>
      <c r="J35" s="34">
        <f>AVERAGE(E35,H35)</f>
        <v>1983.4450000000002</v>
      </c>
      <c r="K35" s="32">
        <v>222.0639362</v>
      </c>
    </row>
    <row r="36" spans="3:11" x14ac:dyDescent="0.25">
      <c r="C36" s="30" t="s">
        <v>21</v>
      </c>
      <c r="D36" s="31">
        <v>9</v>
      </c>
      <c r="E36" s="32">
        <v>7.37</v>
      </c>
      <c r="F36" s="32">
        <v>0</v>
      </c>
      <c r="G36" s="32">
        <v>0.97</v>
      </c>
      <c r="H36" s="32">
        <v>6.4</v>
      </c>
      <c r="I36" s="33">
        <v>0.09</v>
      </c>
      <c r="J36" s="34">
        <f t="shared" ref="J36:J41" si="5">AVERAGE(E36,H36)</f>
        <v>6.8849999999999998</v>
      </c>
      <c r="K36" s="32">
        <v>3.2161767000000001</v>
      </c>
    </row>
    <row r="37" spans="3:11" x14ac:dyDescent="0.25">
      <c r="C37" s="30" t="s">
        <v>22</v>
      </c>
      <c r="D37" s="31" t="s">
        <v>23</v>
      </c>
      <c r="E37" s="32">
        <v>35.380000000000003</v>
      </c>
      <c r="F37" s="32">
        <v>0</v>
      </c>
      <c r="G37" s="32">
        <v>7.86</v>
      </c>
      <c r="H37" s="32">
        <v>27.520000000000003</v>
      </c>
      <c r="I37" s="33">
        <f>AVERAGE(10.62%,11.85%)</f>
        <v>0.11234999999999999</v>
      </c>
      <c r="J37" s="34">
        <f t="shared" si="5"/>
        <v>31.450000000000003</v>
      </c>
      <c r="K37" s="32">
        <v>3.7821807000000001</v>
      </c>
    </row>
    <row r="38" spans="3:11" x14ac:dyDescent="0.25">
      <c r="C38" s="30" t="s">
        <v>24</v>
      </c>
      <c r="D38" s="31" t="s">
        <v>25</v>
      </c>
      <c r="E38" s="32">
        <v>49.32</v>
      </c>
      <c r="F38" s="32">
        <v>0</v>
      </c>
      <c r="G38" s="32">
        <v>4.7</v>
      </c>
      <c r="H38" s="32">
        <v>44.62</v>
      </c>
      <c r="I38" s="33">
        <f>AVERAGE(11.1%,11.6%)</f>
        <v>0.11349999999999999</v>
      </c>
      <c r="J38" s="34">
        <f t="shared" si="5"/>
        <v>46.97</v>
      </c>
      <c r="K38" s="32">
        <v>5.5085588999999997</v>
      </c>
    </row>
    <row r="39" spans="3:11" x14ac:dyDescent="0.25">
      <c r="C39" s="30" t="s">
        <v>47</v>
      </c>
      <c r="D39" s="31">
        <v>10.5</v>
      </c>
      <c r="E39" s="32">
        <v>0</v>
      </c>
      <c r="F39" s="32">
        <v>50</v>
      </c>
      <c r="G39" s="32"/>
      <c r="H39" s="32">
        <v>50</v>
      </c>
      <c r="I39" s="33">
        <v>0.105</v>
      </c>
      <c r="J39" s="34">
        <f t="shared" si="5"/>
        <v>25</v>
      </c>
      <c r="K39" s="32">
        <v>0</v>
      </c>
    </row>
    <row r="40" spans="3:11" x14ac:dyDescent="0.25">
      <c r="C40" s="30" t="s">
        <v>26</v>
      </c>
      <c r="D40" s="31">
        <v>0.65</v>
      </c>
      <c r="E40" s="32">
        <v>351.28</v>
      </c>
      <c r="F40" s="32">
        <v>0</v>
      </c>
      <c r="G40" s="32">
        <v>0</v>
      </c>
      <c r="H40" s="32">
        <v>351.28</v>
      </c>
      <c r="I40" s="33">
        <v>6.4999999999999997E-3</v>
      </c>
      <c r="J40" s="34">
        <f t="shared" si="5"/>
        <v>351.28</v>
      </c>
      <c r="K40" s="32">
        <v>0</v>
      </c>
    </row>
    <row r="41" spans="3:11" x14ac:dyDescent="0.25">
      <c r="C41" s="30" t="s">
        <v>28</v>
      </c>
      <c r="D41" s="31">
        <v>1</v>
      </c>
      <c r="E41" s="32">
        <v>6.07</v>
      </c>
      <c r="F41" s="32">
        <v>0</v>
      </c>
      <c r="G41" s="32">
        <v>0</v>
      </c>
      <c r="H41" s="32">
        <v>6.07</v>
      </c>
      <c r="I41" s="33">
        <v>0.01</v>
      </c>
      <c r="J41" s="34">
        <f t="shared" si="5"/>
        <v>6.07</v>
      </c>
      <c r="K41" s="32">
        <v>0</v>
      </c>
    </row>
    <row r="42" spans="3:11" ht="14.4" x14ac:dyDescent="0.3">
      <c r="C42" s="20" t="s">
        <v>29</v>
      </c>
      <c r="D42" s="21"/>
      <c r="E42" s="35">
        <f>SUM(E35:E41)</f>
        <v>2394.31</v>
      </c>
      <c r="F42" s="35">
        <f t="shared" ref="F42:H42" si="6">SUM(F35:F41)</f>
        <v>431.26</v>
      </c>
      <c r="G42" s="35">
        <f t="shared" si="6"/>
        <v>317.68</v>
      </c>
      <c r="H42" s="35">
        <f t="shared" si="6"/>
        <v>2507.89</v>
      </c>
      <c r="I42" s="36"/>
      <c r="J42" s="36"/>
      <c r="K42" s="35">
        <f t="shared" ref="K42" si="7">SUM(K35:K41)</f>
        <v>234.5708525</v>
      </c>
    </row>
    <row r="43" spans="3:11" x14ac:dyDescent="0.25">
      <c r="C43" s="37" t="s">
        <v>30</v>
      </c>
      <c r="D43" s="31" t="s">
        <v>31</v>
      </c>
      <c r="E43" s="32">
        <v>924.02</v>
      </c>
      <c r="F43" s="32">
        <v>0</v>
      </c>
      <c r="G43" s="32">
        <v>0</v>
      </c>
      <c r="H43" s="32">
        <v>924.02</v>
      </c>
      <c r="I43" s="33">
        <f>AVERAGE(9.95%,10%)</f>
        <v>9.9750000000000005E-2</v>
      </c>
      <c r="J43" s="36">
        <f t="shared" ref="J43:J48" si="8">AVERAGE(H43,E43)</f>
        <v>924.02</v>
      </c>
      <c r="K43" s="32">
        <v>122.7526</v>
      </c>
    </row>
    <row r="44" spans="3:11" x14ac:dyDescent="0.25">
      <c r="C44" s="37" t="s">
        <v>32</v>
      </c>
      <c r="D44" s="31" t="s">
        <v>48</v>
      </c>
      <c r="E44" s="32">
        <v>211.64000000000001</v>
      </c>
      <c r="F44" s="32">
        <v>0</v>
      </c>
      <c r="G44" s="32">
        <v>56.99</v>
      </c>
      <c r="H44" s="32">
        <v>154.65</v>
      </c>
      <c r="I44" s="33">
        <f>AVERAGE(11.65%,12%)</f>
        <v>0.11824999999999999</v>
      </c>
      <c r="J44" s="36">
        <f t="shared" si="8"/>
        <v>183.14500000000001</v>
      </c>
      <c r="K44" s="32">
        <v>22.4528055</v>
      </c>
    </row>
    <row r="45" spans="3:11" ht="14.4" x14ac:dyDescent="0.3">
      <c r="C45" s="37" t="s">
        <v>34</v>
      </c>
      <c r="D45" s="31">
        <v>9.8800000000000008</v>
      </c>
      <c r="E45" s="32">
        <v>2467.7399999999998</v>
      </c>
      <c r="F45" s="32">
        <v>0</v>
      </c>
      <c r="G45" s="32">
        <v>357.17</v>
      </c>
      <c r="H45" s="32">
        <v>2110.5699999999997</v>
      </c>
      <c r="I45" s="38">
        <f>D45/100</f>
        <v>9.8800000000000013E-2</v>
      </c>
      <c r="J45" s="36">
        <f t="shared" si="8"/>
        <v>2289.1549999999997</v>
      </c>
      <c r="K45" s="32">
        <v>210.2042917</v>
      </c>
    </row>
    <row r="46" spans="3:11" ht="14.4" x14ac:dyDescent="0.3">
      <c r="C46" s="37" t="s">
        <v>35</v>
      </c>
      <c r="D46" s="31">
        <v>9.75</v>
      </c>
      <c r="E46" s="32">
        <v>2505.8399999999997</v>
      </c>
      <c r="F46" s="32">
        <v>0</v>
      </c>
      <c r="G46" s="32">
        <v>304.63</v>
      </c>
      <c r="H46" s="32">
        <v>2201.2099999999996</v>
      </c>
      <c r="I46" s="38">
        <f t="shared" ref="I46:I48" si="9">D46/100</f>
        <v>9.7500000000000003E-2</v>
      </c>
      <c r="J46" s="36">
        <f t="shared" si="8"/>
        <v>2353.5249999999996</v>
      </c>
      <c r="K46" s="32">
        <v>234.8212872</v>
      </c>
    </row>
    <row r="47" spans="3:11" ht="14.4" x14ac:dyDescent="0.3">
      <c r="C47" s="37" t="s">
        <v>36</v>
      </c>
      <c r="D47" s="31">
        <v>10.17</v>
      </c>
      <c r="E47" s="32">
        <v>1222.56</v>
      </c>
      <c r="F47" s="32">
        <v>227.88</v>
      </c>
      <c r="G47" s="32">
        <v>0</v>
      </c>
      <c r="H47" s="32">
        <v>1450.44</v>
      </c>
      <c r="I47" s="38">
        <f t="shared" si="9"/>
        <v>0.1017</v>
      </c>
      <c r="J47" s="36">
        <f t="shared" si="8"/>
        <v>1336.5</v>
      </c>
      <c r="K47" s="32">
        <v>124.9323311</v>
      </c>
    </row>
    <row r="48" spans="3:11" ht="14.4" x14ac:dyDescent="0.3">
      <c r="C48" s="37" t="s">
        <v>37</v>
      </c>
      <c r="D48" s="31">
        <v>10.19</v>
      </c>
      <c r="E48" s="32">
        <v>1222.56</v>
      </c>
      <c r="F48" s="32">
        <v>227.88</v>
      </c>
      <c r="G48" s="32">
        <v>0</v>
      </c>
      <c r="H48" s="32">
        <v>1450.44</v>
      </c>
      <c r="I48" s="38">
        <f t="shared" si="9"/>
        <v>0.10189999999999999</v>
      </c>
      <c r="J48" s="36">
        <f t="shared" si="8"/>
        <v>1336.5</v>
      </c>
      <c r="K48" s="32">
        <v>128.1222574</v>
      </c>
    </row>
    <row r="49" spans="3:11" x14ac:dyDescent="0.25">
      <c r="C49" s="37" t="s">
        <v>38</v>
      </c>
      <c r="D49" s="31" t="s">
        <v>49</v>
      </c>
      <c r="E49" s="32">
        <v>1263.9999999999998</v>
      </c>
      <c r="F49" s="32">
        <v>1250</v>
      </c>
      <c r="G49" s="32">
        <v>680.67</v>
      </c>
      <c r="H49" s="32">
        <v>1833.33</v>
      </c>
      <c r="I49" s="33">
        <f>AVERAGE(10.5%,10.99%)</f>
        <v>0.10744999999999999</v>
      </c>
      <c r="J49" s="36">
        <f>AVERAGE(H49,E49)</f>
        <v>1548.665</v>
      </c>
      <c r="K49" s="32">
        <v>194.69995689999999</v>
      </c>
    </row>
    <row r="50" spans="3:11" ht="14.4" x14ac:dyDescent="0.3">
      <c r="C50" s="49" t="s">
        <v>50</v>
      </c>
      <c r="D50" s="50" t="s">
        <v>51</v>
      </c>
      <c r="E50" s="51">
        <v>363.82</v>
      </c>
      <c r="F50" s="51">
        <v>0</v>
      </c>
      <c r="G50" s="51">
        <v>172.68</v>
      </c>
      <c r="H50" s="51">
        <f>E50+F50-G50</f>
        <v>191.14</v>
      </c>
      <c r="I50" s="39">
        <f>AVERAGE(11.1%,11.55%)</f>
        <v>0.11325</v>
      </c>
      <c r="J50" s="36">
        <f t="shared" ref="J50:J55" si="10">AVERAGE(H50,E50)</f>
        <v>277.48</v>
      </c>
      <c r="K50" s="32">
        <v>28.452393000000001</v>
      </c>
    </row>
    <row r="51" spans="3:11" x14ac:dyDescent="0.25">
      <c r="C51" s="49" t="s">
        <v>52</v>
      </c>
      <c r="D51" s="52">
        <v>10.75</v>
      </c>
      <c r="E51" s="53">
        <v>0</v>
      </c>
      <c r="F51" s="53">
        <v>500</v>
      </c>
      <c r="G51" s="53">
        <v>0</v>
      </c>
      <c r="H51" s="53">
        <v>500</v>
      </c>
      <c r="I51" s="5">
        <v>0.1075</v>
      </c>
      <c r="J51" s="36">
        <f t="shared" si="10"/>
        <v>250</v>
      </c>
      <c r="K51" s="32">
        <v>38.1363013</v>
      </c>
    </row>
    <row r="52" spans="3:11" x14ac:dyDescent="0.25">
      <c r="C52" s="49" t="s">
        <v>53</v>
      </c>
      <c r="D52" s="52">
        <v>9.75</v>
      </c>
      <c r="E52" s="53">
        <v>458.33333349999998</v>
      </c>
      <c r="F52" s="53">
        <v>0</v>
      </c>
      <c r="G52" s="53">
        <v>45.833333700000004</v>
      </c>
      <c r="H52" s="53">
        <v>412.49999979999996</v>
      </c>
      <c r="I52" s="5">
        <v>9.7500000000000003E-2</v>
      </c>
      <c r="J52" s="36">
        <f t="shared" si="10"/>
        <v>435.41666664999997</v>
      </c>
      <c r="K52" s="32">
        <v>39.770205500000003</v>
      </c>
    </row>
    <row r="53" spans="3:11" x14ac:dyDescent="0.25">
      <c r="C53" s="49" t="s">
        <v>54</v>
      </c>
      <c r="D53" s="52">
        <v>10</v>
      </c>
      <c r="E53" s="53">
        <v>2249.58</v>
      </c>
      <c r="F53" s="53">
        <v>3165</v>
      </c>
      <c r="G53" s="53">
        <v>2919.01</v>
      </c>
      <c r="H53" s="53">
        <v>2495.5699999999997</v>
      </c>
      <c r="I53" s="33">
        <v>0.1</v>
      </c>
      <c r="J53" s="36">
        <f t="shared" si="10"/>
        <v>2372.5749999999998</v>
      </c>
      <c r="K53" s="32">
        <v>228.0930315</v>
      </c>
    </row>
    <row r="54" spans="3:11" x14ac:dyDescent="0.25">
      <c r="C54" s="49" t="s">
        <v>55</v>
      </c>
      <c r="D54" s="50">
        <v>10</v>
      </c>
      <c r="E54" s="51">
        <v>1998.38</v>
      </c>
      <c r="F54" s="51">
        <v>4984</v>
      </c>
      <c r="G54" s="51">
        <v>2988.76</v>
      </c>
      <c r="H54" s="51">
        <f t="shared" ref="H54" si="11">E54+F54-G54</f>
        <v>3993.62</v>
      </c>
      <c r="I54" s="33">
        <v>0.1</v>
      </c>
      <c r="J54" s="36">
        <f t="shared" si="10"/>
        <v>2996</v>
      </c>
      <c r="K54" s="32">
        <v>332.31108389999997</v>
      </c>
    </row>
    <row r="55" spans="3:11" ht="14.4" x14ac:dyDescent="0.3">
      <c r="C55" s="37" t="s">
        <v>56</v>
      </c>
      <c r="D55" s="31">
        <v>11.75</v>
      </c>
      <c r="E55" s="32">
        <v>0</v>
      </c>
      <c r="F55" s="32">
        <v>1000</v>
      </c>
      <c r="G55" s="32">
        <v>0</v>
      </c>
      <c r="H55" s="32">
        <v>1000</v>
      </c>
      <c r="I55" s="39">
        <v>0.11749999999999999</v>
      </c>
      <c r="J55" s="36">
        <f t="shared" si="10"/>
        <v>500</v>
      </c>
      <c r="K55" s="32">
        <v>36.231204400000003</v>
      </c>
    </row>
    <row r="56" spans="3:11" ht="14.4" x14ac:dyDescent="0.3">
      <c r="C56" s="20" t="s">
        <v>40</v>
      </c>
      <c r="D56" s="21"/>
      <c r="E56" s="35">
        <f>SUM(E43:E55)</f>
        <v>14888.473333499998</v>
      </c>
      <c r="F56" s="35">
        <f t="shared" ref="F56:H56" si="12">SUM(F43:F55)</f>
        <v>11354.76</v>
      </c>
      <c r="G56" s="46">
        <f t="shared" si="12"/>
        <v>7525.7433337000002</v>
      </c>
      <c r="H56" s="46">
        <f t="shared" si="12"/>
        <v>18717.4899998</v>
      </c>
      <c r="I56" s="36"/>
      <c r="J56" s="36"/>
      <c r="K56" s="35">
        <f t="shared" ref="K56" si="13">SUM(K43:K55)</f>
        <v>1740.9797493999999</v>
      </c>
    </row>
    <row r="57" spans="3:11" ht="14.4" x14ac:dyDescent="0.3">
      <c r="C57" s="20" t="s">
        <v>41</v>
      </c>
      <c r="D57" s="21"/>
      <c r="E57" s="40">
        <f>E42+E56</f>
        <v>17282.7833335</v>
      </c>
      <c r="F57" s="40">
        <f t="shared" ref="F57:H57" si="14">F42+F56</f>
        <v>11786.02</v>
      </c>
      <c r="G57" s="46">
        <f t="shared" si="14"/>
        <v>7843.4233337000005</v>
      </c>
      <c r="H57" s="46">
        <f t="shared" si="14"/>
        <v>21225.379999799999</v>
      </c>
      <c r="I57" s="36"/>
      <c r="J57" s="36"/>
      <c r="K57" s="35">
        <f>K42+K56</f>
        <v>1975.5506018999999</v>
      </c>
    </row>
    <row r="58" spans="3:11" ht="14.4" x14ac:dyDescent="0.3">
      <c r="K58" s="54">
        <f>+K57/AVERAGE(E57,H57)</f>
        <v>0.10260424963927788</v>
      </c>
    </row>
    <row r="59" spans="3:11" hidden="1" x14ac:dyDescent="0.25">
      <c r="C59" s="9" t="s">
        <v>2</v>
      </c>
      <c r="D59" s="9"/>
      <c r="E59" s="9"/>
      <c r="F59" s="9"/>
      <c r="G59" s="9"/>
      <c r="H59" s="9"/>
    </row>
    <row r="60" spans="3:11" ht="14.4" hidden="1" x14ac:dyDescent="0.3">
      <c r="C60" s="47" t="s">
        <v>9</v>
      </c>
      <c r="D60" s="47"/>
      <c r="E60" s="47"/>
      <c r="F60" s="47"/>
      <c r="G60" s="47"/>
      <c r="H60" s="47"/>
    </row>
    <row r="61" spans="3:11" ht="57.6" hidden="1" x14ac:dyDescent="0.25">
      <c r="C61" s="10" t="s">
        <v>10</v>
      </c>
      <c r="D61" s="10" t="s">
        <v>11</v>
      </c>
      <c r="E61" s="10" t="s">
        <v>57</v>
      </c>
      <c r="F61" s="10" t="s">
        <v>13</v>
      </c>
      <c r="G61" s="10" t="s">
        <v>14</v>
      </c>
      <c r="H61" s="10" t="s">
        <v>58</v>
      </c>
      <c r="I61" s="10" t="s">
        <v>16</v>
      </c>
      <c r="J61" s="10" t="s">
        <v>17</v>
      </c>
    </row>
    <row r="62" spans="3:11" hidden="1" x14ac:dyDescent="0.25">
      <c r="C62" s="12" t="s">
        <v>19</v>
      </c>
      <c r="D62" s="13" t="s">
        <v>20</v>
      </c>
      <c r="E62" s="12">
        <v>1732.8500000000001</v>
      </c>
      <c r="F62" s="12">
        <v>0</v>
      </c>
      <c r="G62" s="12">
        <v>212.04</v>
      </c>
      <c r="H62" s="12">
        <f>E62+F62-G62</f>
        <v>1520.8100000000002</v>
      </c>
      <c r="I62" s="41">
        <f>AVERAGE(10.25%,11.61%)</f>
        <v>0.10929999999999999</v>
      </c>
      <c r="J62" s="42">
        <f>AVERAGE(E62,H62)</f>
        <v>1626.8300000000002</v>
      </c>
    </row>
    <row r="63" spans="3:11" hidden="1" x14ac:dyDescent="0.25">
      <c r="C63" s="12" t="s">
        <v>21</v>
      </c>
      <c r="D63" s="13">
        <v>9</v>
      </c>
      <c r="E63" s="12">
        <v>6.48</v>
      </c>
      <c r="F63" s="12">
        <v>0</v>
      </c>
      <c r="G63" s="12">
        <v>0.89</v>
      </c>
      <c r="H63" s="12">
        <f t="shared" ref="H63:H75" si="15">E63+F63-G63</f>
        <v>5.5900000000000007</v>
      </c>
      <c r="I63" s="41">
        <v>0.09</v>
      </c>
      <c r="J63" s="42">
        <f t="shared" ref="J63:J67" si="16">AVERAGE(E63,H63)</f>
        <v>6.0350000000000001</v>
      </c>
    </row>
    <row r="64" spans="3:11" hidden="1" x14ac:dyDescent="0.25">
      <c r="C64" s="12" t="s">
        <v>22</v>
      </c>
      <c r="D64" s="13" t="s">
        <v>23</v>
      </c>
      <c r="E64" s="12">
        <v>27.520000000000003</v>
      </c>
      <c r="F64" s="12">
        <v>0</v>
      </c>
      <c r="G64" s="12">
        <v>7.86</v>
      </c>
      <c r="H64" s="12">
        <f t="shared" si="15"/>
        <v>19.660000000000004</v>
      </c>
      <c r="I64" s="41">
        <f>AVERAGE(10.62%,11.85%)</f>
        <v>0.11234999999999999</v>
      </c>
      <c r="J64" s="42">
        <f t="shared" si="16"/>
        <v>23.590000000000003</v>
      </c>
    </row>
    <row r="65" spans="3:10" hidden="1" x14ac:dyDescent="0.25">
      <c r="C65" s="12" t="s">
        <v>24</v>
      </c>
      <c r="D65" s="13" t="s">
        <v>25</v>
      </c>
      <c r="E65" s="12">
        <v>44.62</v>
      </c>
      <c r="F65" s="12">
        <v>0</v>
      </c>
      <c r="G65" s="12">
        <v>4.7</v>
      </c>
      <c r="H65" s="12">
        <f t="shared" si="15"/>
        <v>39.919999999999995</v>
      </c>
      <c r="I65" s="41">
        <f>AVERAGE(11.1%,11.6%)</f>
        <v>0.11349999999999999</v>
      </c>
      <c r="J65" s="42">
        <f t="shared" si="16"/>
        <v>42.269999999999996</v>
      </c>
    </row>
    <row r="66" spans="3:10" hidden="1" x14ac:dyDescent="0.25">
      <c r="C66" s="12" t="s">
        <v>26</v>
      </c>
      <c r="D66" s="13">
        <v>0.65</v>
      </c>
      <c r="E66" s="12">
        <v>351.28</v>
      </c>
      <c r="F66" s="12">
        <v>0</v>
      </c>
      <c r="G66" s="12">
        <v>0</v>
      </c>
      <c r="H66" s="12">
        <f t="shared" si="15"/>
        <v>351.28</v>
      </c>
      <c r="I66" s="14">
        <v>6.4999999999999997E-3</v>
      </c>
      <c r="J66" s="42">
        <f t="shared" si="16"/>
        <v>351.28</v>
      </c>
    </row>
    <row r="67" spans="3:10" hidden="1" x14ac:dyDescent="0.25">
      <c r="C67" s="12" t="s">
        <v>28</v>
      </c>
      <c r="D67" s="13">
        <v>1</v>
      </c>
      <c r="E67" s="12">
        <v>6.07</v>
      </c>
      <c r="F67" s="12">
        <v>0</v>
      </c>
      <c r="G67" s="12">
        <v>0</v>
      </c>
      <c r="H67" s="12">
        <f t="shared" si="15"/>
        <v>6.07</v>
      </c>
      <c r="I67" s="41">
        <v>0.01</v>
      </c>
      <c r="J67" s="42">
        <f t="shared" si="16"/>
        <v>6.07</v>
      </c>
    </row>
    <row r="68" spans="3:10" ht="14.4" hidden="1" x14ac:dyDescent="0.3">
      <c r="C68" s="20" t="s">
        <v>29</v>
      </c>
      <c r="D68" s="21"/>
      <c r="E68" s="20">
        <v>2168.8200000000002</v>
      </c>
      <c r="F68" s="20">
        <f t="shared" ref="F68:H68" si="17">SUM(F62:F67)</f>
        <v>0</v>
      </c>
      <c r="G68" s="20">
        <f t="shared" si="17"/>
        <v>225.48999999999998</v>
      </c>
      <c r="H68" s="20">
        <f t="shared" si="17"/>
        <v>1943.3300000000002</v>
      </c>
    </row>
    <row r="69" spans="3:10" hidden="1" x14ac:dyDescent="0.25">
      <c r="C69" s="12" t="s">
        <v>30</v>
      </c>
      <c r="D69" s="13" t="s">
        <v>31</v>
      </c>
      <c r="E69" s="12">
        <v>924.02</v>
      </c>
      <c r="F69" s="12">
        <v>0</v>
      </c>
      <c r="G69" s="12">
        <v>0</v>
      </c>
      <c r="H69" s="12">
        <f t="shared" si="15"/>
        <v>924.02</v>
      </c>
      <c r="I69" s="23">
        <v>0.1</v>
      </c>
      <c r="J69" s="1">
        <f>AVERAGE(H69,E69)</f>
        <v>924.02</v>
      </c>
    </row>
    <row r="70" spans="3:10" ht="14.4" hidden="1" x14ac:dyDescent="0.3">
      <c r="C70" s="12" t="s">
        <v>32</v>
      </c>
      <c r="D70" s="13" t="s">
        <v>33</v>
      </c>
      <c r="E70" s="12">
        <v>154.64000000000001</v>
      </c>
      <c r="F70" s="12">
        <v>0</v>
      </c>
      <c r="G70" s="12">
        <v>57</v>
      </c>
      <c r="H70" s="12">
        <f t="shared" si="15"/>
        <v>97.640000000000015</v>
      </c>
      <c r="I70" s="27">
        <f>AVERAGE(11.4%,11.75%)</f>
        <v>0.11574999999999999</v>
      </c>
      <c r="J70" s="1">
        <f t="shared" ref="J70:J75" si="18">AVERAGE(H70,E70)</f>
        <v>126.14000000000001</v>
      </c>
    </row>
    <row r="71" spans="3:10" hidden="1" x14ac:dyDescent="0.25">
      <c r="C71" s="12" t="s">
        <v>34</v>
      </c>
      <c r="D71" s="13">
        <v>9.75</v>
      </c>
      <c r="E71" s="12">
        <v>2078.1</v>
      </c>
      <c r="F71" s="12">
        <v>0</v>
      </c>
      <c r="G71" s="12">
        <v>389.64</v>
      </c>
      <c r="H71" s="12">
        <f t="shared" si="15"/>
        <v>1688.46</v>
      </c>
      <c r="I71" s="26">
        <v>9.7500000000000003E-2</v>
      </c>
      <c r="J71" s="1">
        <f t="shared" si="18"/>
        <v>1883.28</v>
      </c>
    </row>
    <row r="72" spans="3:10" hidden="1" x14ac:dyDescent="0.25">
      <c r="C72" s="12" t="s">
        <v>35</v>
      </c>
      <c r="D72" s="13">
        <v>9.75</v>
      </c>
      <c r="E72" s="12">
        <v>2117.7599999999998</v>
      </c>
      <c r="F72" s="12">
        <v>0</v>
      </c>
      <c r="G72" s="12">
        <v>388.08</v>
      </c>
      <c r="H72" s="12">
        <f t="shared" si="15"/>
        <v>1729.6799999999998</v>
      </c>
      <c r="I72" s="26">
        <v>9.7500000000000003E-2</v>
      </c>
      <c r="J72" s="1">
        <f t="shared" si="18"/>
        <v>1923.7199999999998</v>
      </c>
    </row>
    <row r="73" spans="3:10" hidden="1" x14ac:dyDescent="0.25">
      <c r="C73" s="12" t="s">
        <v>36</v>
      </c>
      <c r="D73" s="13">
        <v>10</v>
      </c>
      <c r="E73" s="12">
        <v>1495.75</v>
      </c>
      <c r="F73" s="12">
        <v>0</v>
      </c>
      <c r="G73" s="12">
        <v>136.81</v>
      </c>
      <c r="H73" s="12">
        <f t="shared" si="15"/>
        <v>1358.94</v>
      </c>
      <c r="I73" s="23">
        <v>0.1</v>
      </c>
      <c r="J73" s="1">
        <f t="shared" si="18"/>
        <v>1427.345</v>
      </c>
    </row>
    <row r="74" spans="3:10" hidden="1" x14ac:dyDescent="0.25">
      <c r="C74" s="12" t="s">
        <v>37</v>
      </c>
      <c r="D74" s="13">
        <v>10</v>
      </c>
      <c r="E74" s="12">
        <v>1495.75</v>
      </c>
      <c r="F74" s="12">
        <v>0</v>
      </c>
      <c r="G74" s="12">
        <v>136.81</v>
      </c>
      <c r="H74" s="12">
        <f t="shared" si="15"/>
        <v>1358.94</v>
      </c>
      <c r="I74" s="23">
        <v>0.1</v>
      </c>
      <c r="J74" s="1">
        <f t="shared" si="18"/>
        <v>1427.345</v>
      </c>
    </row>
    <row r="75" spans="3:10" ht="14.4" hidden="1" x14ac:dyDescent="0.3">
      <c r="C75" s="12" t="s">
        <v>38</v>
      </c>
      <c r="D75" s="13" t="s">
        <v>39</v>
      </c>
      <c r="E75" s="12">
        <v>975.99999999999977</v>
      </c>
      <c r="F75" s="12"/>
      <c r="G75" s="12">
        <v>288</v>
      </c>
      <c r="H75" s="12">
        <f t="shared" si="15"/>
        <v>687.99999999999977</v>
      </c>
      <c r="I75" s="27">
        <f>AVERAGE(10.5%,11.55%)</f>
        <v>0.11025</v>
      </c>
      <c r="J75" s="1">
        <f t="shared" si="18"/>
        <v>831.99999999999977</v>
      </c>
    </row>
    <row r="76" spans="3:10" ht="14.4" hidden="1" x14ac:dyDescent="0.3">
      <c r="C76" s="20" t="s">
        <v>40</v>
      </c>
      <c r="D76" s="21"/>
      <c r="E76" s="20">
        <f>SUM(E69:E75)</f>
        <v>9242.02</v>
      </c>
      <c r="F76" s="20">
        <f>SUM(F69:F75)</f>
        <v>0</v>
      </c>
      <c r="G76" s="20">
        <f>SUM(G69:G75)</f>
        <v>1396.34</v>
      </c>
      <c r="H76" s="20">
        <f>SUM(H69:H75)</f>
        <v>7845.68</v>
      </c>
    </row>
    <row r="77" spans="3:10" ht="14.4" hidden="1" x14ac:dyDescent="0.3">
      <c r="C77" s="20" t="s">
        <v>41</v>
      </c>
      <c r="D77" s="21"/>
      <c r="E77" s="20">
        <f>E68+E76</f>
        <v>11410.84</v>
      </c>
      <c r="F77" s="20">
        <f t="shared" ref="F77:H77" si="19">F68+F76</f>
        <v>0</v>
      </c>
      <c r="G77" s="20">
        <f t="shared" si="19"/>
        <v>1621.83</v>
      </c>
      <c r="H77" s="20">
        <f t="shared" si="19"/>
        <v>9789.01</v>
      </c>
    </row>
    <row r="78" spans="3:10" hidden="1" x14ac:dyDescent="0.25"/>
    <row r="79" spans="3:10" hidden="1" x14ac:dyDescent="0.25">
      <c r="C79" s="9" t="s">
        <v>3</v>
      </c>
      <c r="D79" s="9"/>
      <c r="E79" s="9"/>
      <c r="F79" s="9"/>
      <c r="G79" s="9"/>
      <c r="H79" s="9"/>
    </row>
    <row r="80" spans="3:10" ht="14.4" hidden="1" x14ac:dyDescent="0.3">
      <c r="C80" s="47" t="s">
        <v>9</v>
      </c>
      <c r="D80" s="47"/>
      <c r="E80" s="47"/>
      <c r="F80" s="47"/>
      <c r="G80" s="47"/>
      <c r="H80" s="47"/>
    </row>
    <row r="81" spans="3:10" ht="57.6" hidden="1" x14ac:dyDescent="0.25">
      <c r="C81" s="10" t="s">
        <v>10</v>
      </c>
      <c r="D81" s="10" t="s">
        <v>11</v>
      </c>
      <c r="E81" s="10" t="s">
        <v>59</v>
      </c>
      <c r="F81" s="10" t="s">
        <v>13</v>
      </c>
      <c r="G81" s="10" t="s">
        <v>14</v>
      </c>
      <c r="H81" s="10" t="s">
        <v>60</v>
      </c>
      <c r="I81" s="10" t="s">
        <v>16</v>
      </c>
      <c r="J81" s="10" t="s">
        <v>17</v>
      </c>
    </row>
    <row r="82" spans="3:10" hidden="1" x14ac:dyDescent="0.25">
      <c r="C82" s="12" t="s">
        <v>19</v>
      </c>
      <c r="D82" s="13" t="s">
        <v>20</v>
      </c>
      <c r="E82" s="12">
        <v>1520.8100000000002</v>
      </c>
      <c r="F82" s="12">
        <v>0</v>
      </c>
      <c r="G82" s="12">
        <v>212.04</v>
      </c>
      <c r="H82" s="12">
        <f>E82+F82-G82</f>
        <v>1308.7700000000002</v>
      </c>
      <c r="I82" s="41">
        <f>AVERAGE(10.25%,11.61%)</f>
        <v>0.10929999999999999</v>
      </c>
      <c r="J82" s="42">
        <f>AVERAGE(E82,H82)</f>
        <v>1414.7900000000002</v>
      </c>
    </row>
    <row r="83" spans="3:10" hidden="1" x14ac:dyDescent="0.25">
      <c r="C83" s="12" t="s">
        <v>21</v>
      </c>
      <c r="D83" s="13">
        <v>9</v>
      </c>
      <c r="E83" s="12">
        <v>5.5900000000000007</v>
      </c>
      <c r="F83" s="12">
        <v>0</v>
      </c>
      <c r="G83" s="12">
        <v>0.89</v>
      </c>
      <c r="H83" s="12">
        <f t="shared" ref="H83:H95" si="20">E83+F83-G83</f>
        <v>4.7000000000000011</v>
      </c>
      <c r="I83" s="41">
        <v>0.09</v>
      </c>
      <c r="J83" s="42">
        <f t="shared" ref="J83:J95" si="21">AVERAGE(E83,H83)</f>
        <v>5.1450000000000014</v>
      </c>
    </row>
    <row r="84" spans="3:10" hidden="1" x14ac:dyDescent="0.25">
      <c r="C84" s="12" t="s">
        <v>22</v>
      </c>
      <c r="D84" s="13" t="s">
        <v>23</v>
      </c>
      <c r="E84" s="12">
        <v>19.660000000000004</v>
      </c>
      <c r="F84" s="12">
        <v>0</v>
      </c>
      <c r="G84" s="12">
        <v>7.86</v>
      </c>
      <c r="H84" s="12">
        <f t="shared" si="20"/>
        <v>11.800000000000004</v>
      </c>
      <c r="I84" s="41">
        <f>AVERAGE(10.62%,11.85%)</f>
        <v>0.11234999999999999</v>
      </c>
      <c r="J84" s="42">
        <f t="shared" si="21"/>
        <v>15.730000000000004</v>
      </c>
    </row>
    <row r="85" spans="3:10" hidden="1" x14ac:dyDescent="0.25">
      <c r="C85" s="12" t="s">
        <v>24</v>
      </c>
      <c r="D85" s="13" t="s">
        <v>25</v>
      </c>
      <c r="E85" s="12">
        <v>39.919999999999995</v>
      </c>
      <c r="F85" s="12">
        <v>0</v>
      </c>
      <c r="G85" s="12">
        <v>4.7</v>
      </c>
      <c r="H85" s="12">
        <f t="shared" si="20"/>
        <v>35.219999999999992</v>
      </c>
      <c r="I85" s="41">
        <f>AVERAGE(11.1%,11.6%)</f>
        <v>0.11349999999999999</v>
      </c>
      <c r="J85" s="42">
        <f t="shared" si="21"/>
        <v>37.569999999999993</v>
      </c>
    </row>
    <row r="86" spans="3:10" hidden="1" x14ac:dyDescent="0.25">
      <c r="C86" s="12" t="s">
        <v>26</v>
      </c>
      <c r="D86" s="13">
        <v>0.65</v>
      </c>
      <c r="E86" s="12">
        <v>351.28</v>
      </c>
      <c r="F86" s="12">
        <v>0</v>
      </c>
      <c r="G86" s="12">
        <v>0</v>
      </c>
      <c r="H86" s="12">
        <f t="shared" si="20"/>
        <v>351.28</v>
      </c>
      <c r="I86" s="14">
        <v>6.4999999999999997E-3</v>
      </c>
      <c r="J86" s="42">
        <f t="shared" si="21"/>
        <v>351.28</v>
      </c>
    </row>
    <row r="87" spans="3:10" hidden="1" x14ac:dyDescent="0.25">
      <c r="C87" s="12" t="s">
        <v>28</v>
      </c>
      <c r="D87" s="13">
        <v>1</v>
      </c>
      <c r="E87" s="12">
        <v>6.07</v>
      </c>
      <c r="F87" s="12">
        <v>0</v>
      </c>
      <c r="G87" s="12">
        <v>0</v>
      </c>
      <c r="H87" s="12">
        <f t="shared" si="20"/>
        <v>6.07</v>
      </c>
      <c r="I87" s="41">
        <v>0.01</v>
      </c>
      <c r="J87" s="42">
        <f t="shared" si="21"/>
        <v>6.07</v>
      </c>
    </row>
    <row r="88" spans="3:10" ht="14.4" hidden="1" x14ac:dyDescent="0.3">
      <c r="C88" s="20" t="s">
        <v>29</v>
      </c>
      <c r="D88" s="21"/>
      <c r="E88" s="20">
        <v>1943.3300000000002</v>
      </c>
      <c r="F88" s="20">
        <f t="shared" ref="F88:H88" si="22">SUM(F82:F87)</f>
        <v>0</v>
      </c>
      <c r="G88" s="20">
        <f t="shared" si="22"/>
        <v>225.48999999999998</v>
      </c>
      <c r="H88" s="20">
        <f t="shared" si="22"/>
        <v>1717.8400000000001</v>
      </c>
    </row>
    <row r="89" spans="3:10" hidden="1" x14ac:dyDescent="0.25">
      <c r="C89" s="12" t="s">
        <v>30</v>
      </c>
      <c r="D89" s="13" t="s">
        <v>31</v>
      </c>
      <c r="E89" s="12">
        <v>924.02</v>
      </c>
      <c r="F89" s="12">
        <v>0</v>
      </c>
      <c r="G89" s="12">
        <v>0</v>
      </c>
      <c r="H89" s="12">
        <f t="shared" si="20"/>
        <v>924.02</v>
      </c>
      <c r="I89" s="23">
        <v>0.1</v>
      </c>
      <c r="J89" s="42">
        <f t="shared" si="21"/>
        <v>924.02</v>
      </c>
    </row>
    <row r="90" spans="3:10" ht="14.4" hidden="1" x14ac:dyDescent="0.3">
      <c r="C90" s="12" t="s">
        <v>32</v>
      </c>
      <c r="D90" s="13" t="s">
        <v>33</v>
      </c>
      <c r="E90" s="12">
        <v>97.640000000000015</v>
      </c>
      <c r="F90" s="12">
        <v>0</v>
      </c>
      <c r="G90" s="12">
        <v>57</v>
      </c>
      <c r="H90" s="12">
        <f t="shared" si="20"/>
        <v>40.640000000000015</v>
      </c>
      <c r="I90" s="27">
        <f>AVERAGE(11.4%,11.75%)</f>
        <v>0.11574999999999999</v>
      </c>
      <c r="J90" s="42">
        <f t="shared" si="21"/>
        <v>69.140000000000015</v>
      </c>
    </row>
    <row r="91" spans="3:10" hidden="1" x14ac:dyDescent="0.25">
      <c r="C91" s="12" t="s">
        <v>34</v>
      </c>
      <c r="D91" s="13">
        <v>9.75</v>
      </c>
      <c r="E91" s="12">
        <v>1688.46</v>
      </c>
      <c r="F91" s="12">
        <v>0</v>
      </c>
      <c r="G91" s="12">
        <v>389.64</v>
      </c>
      <c r="H91" s="12">
        <f t="shared" si="20"/>
        <v>1298.8200000000002</v>
      </c>
      <c r="I91" s="26">
        <v>9.7500000000000003E-2</v>
      </c>
      <c r="J91" s="42">
        <f t="shared" si="21"/>
        <v>1493.64</v>
      </c>
    </row>
    <row r="92" spans="3:10" hidden="1" x14ac:dyDescent="0.25">
      <c r="C92" s="12" t="s">
        <v>35</v>
      </c>
      <c r="D92" s="13">
        <v>9.75</v>
      </c>
      <c r="E92" s="12">
        <v>1729.6799999999998</v>
      </c>
      <c r="F92" s="12">
        <v>0</v>
      </c>
      <c r="G92" s="12">
        <v>388.08</v>
      </c>
      <c r="H92" s="12">
        <f t="shared" si="20"/>
        <v>1341.6</v>
      </c>
      <c r="I92" s="26">
        <v>9.7500000000000003E-2</v>
      </c>
      <c r="J92" s="42">
        <f t="shared" si="21"/>
        <v>1535.6399999999999</v>
      </c>
    </row>
    <row r="93" spans="3:10" hidden="1" x14ac:dyDescent="0.25">
      <c r="C93" s="12" t="s">
        <v>36</v>
      </c>
      <c r="D93" s="13">
        <v>10</v>
      </c>
      <c r="E93" s="12">
        <v>1358.94</v>
      </c>
      <c r="F93" s="12"/>
      <c r="G93" s="12">
        <v>149.25</v>
      </c>
      <c r="H93" s="12">
        <f t="shared" si="20"/>
        <v>1209.69</v>
      </c>
      <c r="I93" s="23">
        <v>0.1</v>
      </c>
      <c r="J93" s="42">
        <f t="shared" si="21"/>
        <v>1284.3150000000001</v>
      </c>
    </row>
    <row r="94" spans="3:10" hidden="1" x14ac:dyDescent="0.25">
      <c r="C94" s="12" t="s">
        <v>37</v>
      </c>
      <c r="D94" s="13">
        <v>10</v>
      </c>
      <c r="E94" s="12">
        <v>1358.94</v>
      </c>
      <c r="F94" s="12"/>
      <c r="G94" s="12">
        <v>149.25</v>
      </c>
      <c r="H94" s="12">
        <f t="shared" si="20"/>
        <v>1209.69</v>
      </c>
      <c r="I94" s="23">
        <v>0.1</v>
      </c>
      <c r="J94" s="42">
        <f t="shared" si="21"/>
        <v>1284.3150000000001</v>
      </c>
    </row>
    <row r="95" spans="3:10" ht="14.4" hidden="1" x14ac:dyDescent="0.3">
      <c r="C95" s="12" t="s">
        <v>38</v>
      </c>
      <c r="D95" s="13" t="s">
        <v>39</v>
      </c>
      <c r="E95" s="12">
        <v>687.99999999999977</v>
      </c>
      <c r="F95" s="12"/>
      <c r="G95" s="12">
        <v>288</v>
      </c>
      <c r="H95" s="12">
        <f t="shared" si="20"/>
        <v>399.99999999999977</v>
      </c>
      <c r="I95" s="27">
        <f>AVERAGE(10.5%,11.55%)</f>
        <v>0.11025</v>
      </c>
      <c r="J95" s="42">
        <f t="shared" si="21"/>
        <v>543.99999999999977</v>
      </c>
    </row>
    <row r="96" spans="3:10" ht="14.4" hidden="1" x14ac:dyDescent="0.3">
      <c r="C96" s="20" t="s">
        <v>40</v>
      </c>
      <c r="D96" s="21"/>
      <c r="E96" s="20">
        <f>SUM(E89:E95)</f>
        <v>7845.68</v>
      </c>
      <c r="F96" s="20">
        <f>SUM(F89:F95)</f>
        <v>0</v>
      </c>
      <c r="G96" s="20">
        <f>SUM(G89:G95)</f>
        <v>1421.22</v>
      </c>
      <c r="H96" s="20">
        <f>SUM(H89:H95)</f>
        <v>6424.4600000000009</v>
      </c>
    </row>
    <row r="97" spans="3:10" ht="14.4" hidden="1" x14ac:dyDescent="0.3">
      <c r="C97" s="20" t="s">
        <v>41</v>
      </c>
      <c r="D97" s="21"/>
      <c r="E97" s="20">
        <f>E88+E96</f>
        <v>9789.01</v>
      </c>
      <c r="F97" s="20">
        <f t="shared" ref="F97:H97" si="23">F88+F96</f>
        <v>0</v>
      </c>
      <c r="G97" s="20">
        <f t="shared" si="23"/>
        <v>1646.71</v>
      </c>
      <c r="H97" s="20">
        <f t="shared" si="23"/>
        <v>8142.3000000000011</v>
      </c>
    </row>
    <row r="98" spans="3:10" hidden="1" x14ac:dyDescent="0.25"/>
    <row r="99" spans="3:10" hidden="1" x14ac:dyDescent="0.25">
      <c r="C99" s="9" t="s">
        <v>4</v>
      </c>
      <c r="D99" s="9"/>
      <c r="E99" s="9"/>
      <c r="F99" s="9"/>
      <c r="G99" s="9"/>
      <c r="H99" s="9"/>
    </row>
    <row r="100" spans="3:10" ht="14.4" hidden="1" x14ac:dyDescent="0.3">
      <c r="C100" s="47" t="s">
        <v>9</v>
      </c>
      <c r="D100" s="47"/>
      <c r="E100" s="47"/>
      <c r="F100" s="47"/>
      <c r="G100" s="47"/>
      <c r="H100" s="47"/>
    </row>
    <row r="101" spans="3:10" ht="57.6" hidden="1" x14ac:dyDescent="0.25">
      <c r="C101" s="10" t="s">
        <v>10</v>
      </c>
      <c r="D101" s="10" t="s">
        <v>11</v>
      </c>
      <c r="E101" s="10" t="s">
        <v>61</v>
      </c>
      <c r="F101" s="10" t="s">
        <v>13</v>
      </c>
      <c r="G101" s="10" t="s">
        <v>14</v>
      </c>
      <c r="H101" s="10" t="s">
        <v>62</v>
      </c>
      <c r="I101" s="10" t="s">
        <v>16</v>
      </c>
      <c r="J101" s="10" t="s">
        <v>17</v>
      </c>
    </row>
    <row r="102" spans="3:10" hidden="1" x14ac:dyDescent="0.25">
      <c r="C102" s="12" t="s">
        <v>19</v>
      </c>
      <c r="D102" s="13" t="s">
        <v>20</v>
      </c>
      <c r="E102" s="12">
        <v>1308.7700000000002</v>
      </c>
      <c r="F102" s="12">
        <v>0</v>
      </c>
      <c r="G102" s="12">
        <v>212.04</v>
      </c>
      <c r="H102" s="12">
        <f>E102+F102-G102</f>
        <v>1096.7300000000002</v>
      </c>
      <c r="I102" s="41">
        <f>AVERAGE(10.25%,11.61%)</f>
        <v>0.10929999999999999</v>
      </c>
      <c r="J102" s="42">
        <f>AVERAGE(E102,H102)</f>
        <v>1202.7500000000002</v>
      </c>
    </row>
    <row r="103" spans="3:10" hidden="1" x14ac:dyDescent="0.25">
      <c r="C103" s="12" t="s">
        <v>21</v>
      </c>
      <c r="D103" s="13">
        <v>9</v>
      </c>
      <c r="E103" s="12">
        <v>4.7000000000000011</v>
      </c>
      <c r="F103" s="12">
        <v>0</v>
      </c>
      <c r="G103" s="12">
        <v>0.89</v>
      </c>
      <c r="H103" s="12">
        <f t="shared" ref="H103:H115" si="24">E103+F103-G103</f>
        <v>3.8100000000000009</v>
      </c>
      <c r="I103" s="41">
        <v>0.09</v>
      </c>
      <c r="J103" s="42">
        <f t="shared" ref="J103:J115" si="25">AVERAGE(E103,H103)</f>
        <v>4.2550000000000008</v>
      </c>
    </row>
    <row r="104" spans="3:10" hidden="1" x14ac:dyDescent="0.25">
      <c r="C104" s="12" t="s">
        <v>22</v>
      </c>
      <c r="D104" s="13" t="s">
        <v>23</v>
      </c>
      <c r="E104" s="12">
        <v>11.800000000000004</v>
      </c>
      <c r="F104" s="12">
        <v>0</v>
      </c>
      <c r="G104" s="12">
        <v>7.86</v>
      </c>
      <c r="H104" s="12">
        <f t="shared" si="24"/>
        <v>3.9400000000000039</v>
      </c>
      <c r="I104" s="41">
        <f>AVERAGE(10.62%,11.85%)</f>
        <v>0.11234999999999999</v>
      </c>
      <c r="J104" s="42">
        <f t="shared" si="25"/>
        <v>7.8700000000000045</v>
      </c>
    </row>
    <row r="105" spans="3:10" hidden="1" x14ac:dyDescent="0.25">
      <c r="C105" s="12" t="s">
        <v>24</v>
      </c>
      <c r="D105" s="13" t="s">
        <v>25</v>
      </c>
      <c r="E105" s="12">
        <v>35.219999999999992</v>
      </c>
      <c r="F105" s="12">
        <v>0</v>
      </c>
      <c r="G105" s="12">
        <v>4.7</v>
      </c>
      <c r="H105" s="12">
        <f t="shared" si="24"/>
        <v>30.519999999999992</v>
      </c>
      <c r="I105" s="41">
        <f>AVERAGE(11.1%,11.6%)</f>
        <v>0.11349999999999999</v>
      </c>
      <c r="J105" s="42">
        <f t="shared" si="25"/>
        <v>32.86999999999999</v>
      </c>
    </row>
    <row r="106" spans="3:10" hidden="1" x14ac:dyDescent="0.25">
      <c r="C106" s="12" t="s">
        <v>26</v>
      </c>
      <c r="D106" s="13">
        <v>0.65</v>
      </c>
      <c r="E106" s="12">
        <v>351.28</v>
      </c>
      <c r="F106" s="12">
        <v>0</v>
      </c>
      <c r="G106" s="12">
        <v>0</v>
      </c>
      <c r="H106" s="12">
        <f t="shared" si="24"/>
        <v>351.28</v>
      </c>
      <c r="I106" s="14">
        <v>6.4999999999999997E-3</v>
      </c>
      <c r="J106" s="42">
        <f t="shared" si="25"/>
        <v>351.28</v>
      </c>
    </row>
    <row r="107" spans="3:10" hidden="1" x14ac:dyDescent="0.25">
      <c r="C107" s="12" t="s">
        <v>28</v>
      </c>
      <c r="D107" s="13">
        <v>1</v>
      </c>
      <c r="E107" s="12">
        <v>6.07</v>
      </c>
      <c r="F107" s="12">
        <v>0</v>
      </c>
      <c r="G107" s="12">
        <v>0</v>
      </c>
      <c r="H107" s="12">
        <f t="shared" si="24"/>
        <v>6.07</v>
      </c>
      <c r="I107" s="41">
        <v>0.01</v>
      </c>
      <c r="J107" s="42">
        <f t="shared" si="25"/>
        <v>6.07</v>
      </c>
    </row>
    <row r="108" spans="3:10" ht="14.4" hidden="1" x14ac:dyDescent="0.3">
      <c r="C108" s="20" t="s">
        <v>29</v>
      </c>
      <c r="D108" s="21"/>
      <c r="E108" s="20">
        <v>1717.8400000000001</v>
      </c>
      <c r="F108" s="20">
        <f t="shared" ref="F108:H108" si="26">SUM(F102:F107)</f>
        <v>0</v>
      </c>
      <c r="G108" s="20">
        <f t="shared" si="26"/>
        <v>225.48999999999998</v>
      </c>
      <c r="H108" s="20">
        <f t="shared" si="26"/>
        <v>1492.3500000000001</v>
      </c>
    </row>
    <row r="109" spans="3:10" hidden="1" x14ac:dyDescent="0.25">
      <c r="C109" s="12" t="s">
        <v>30</v>
      </c>
      <c r="D109" s="13" t="s">
        <v>31</v>
      </c>
      <c r="E109" s="12">
        <v>924.02</v>
      </c>
      <c r="F109" s="12">
        <v>0</v>
      </c>
      <c r="G109" s="12">
        <v>0</v>
      </c>
      <c r="H109" s="12">
        <f t="shared" si="24"/>
        <v>924.02</v>
      </c>
      <c r="I109" s="23">
        <v>0.1</v>
      </c>
      <c r="J109" s="42">
        <f t="shared" si="25"/>
        <v>924.02</v>
      </c>
    </row>
    <row r="110" spans="3:10" ht="14.4" hidden="1" x14ac:dyDescent="0.3">
      <c r="C110" s="12" t="s">
        <v>32</v>
      </c>
      <c r="D110" s="13" t="s">
        <v>33</v>
      </c>
      <c r="E110" s="12">
        <v>40.640000000000015</v>
      </c>
      <c r="F110" s="12">
        <v>0</v>
      </c>
      <c r="G110" s="12">
        <v>40.64</v>
      </c>
      <c r="H110" s="12">
        <f t="shared" si="24"/>
        <v>0</v>
      </c>
      <c r="I110" s="27">
        <f>AVERAGE(11.4%,11.75%)</f>
        <v>0.11574999999999999</v>
      </c>
      <c r="J110" s="42">
        <f t="shared" si="25"/>
        <v>20.320000000000007</v>
      </c>
    </row>
    <row r="111" spans="3:10" hidden="1" x14ac:dyDescent="0.25">
      <c r="C111" s="12" t="s">
        <v>34</v>
      </c>
      <c r="D111" s="13">
        <v>9.75</v>
      </c>
      <c r="E111" s="12">
        <v>1298.8200000000002</v>
      </c>
      <c r="F111" s="12">
        <v>0</v>
      </c>
      <c r="G111" s="12">
        <v>389.64</v>
      </c>
      <c r="H111" s="12">
        <f t="shared" si="24"/>
        <v>909.18000000000018</v>
      </c>
      <c r="I111" s="26">
        <v>9.7500000000000003E-2</v>
      </c>
      <c r="J111" s="42">
        <f t="shared" si="25"/>
        <v>1104.0000000000002</v>
      </c>
    </row>
    <row r="112" spans="3:10" hidden="1" x14ac:dyDescent="0.25">
      <c r="C112" s="12" t="s">
        <v>35</v>
      </c>
      <c r="D112" s="13">
        <v>9.75</v>
      </c>
      <c r="E112" s="12">
        <v>1341.6</v>
      </c>
      <c r="F112" s="12">
        <v>0</v>
      </c>
      <c r="G112" s="12">
        <v>388.08</v>
      </c>
      <c r="H112" s="12">
        <f t="shared" si="24"/>
        <v>953.52</v>
      </c>
      <c r="I112" s="26">
        <v>9.7500000000000003E-2</v>
      </c>
      <c r="J112" s="42">
        <f t="shared" si="25"/>
        <v>1147.56</v>
      </c>
    </row>
    <row r="113" spans="3:10" hidden="1" x14ac:dyDescent="0.25">
      <c r="C113" s="12" t="s">
        <v>36</v>
      </c>
      <c r="D113" s="13">
        <v>10</v>
      </c>
      <c r="E113" s="12">
        <v>1209.69</v>
      </c>
      <c r="F113" s="12"/>
      <c r="G113" s="12">
        <v>149.25</v>
      </c>
      <c r="H113" s="12">
        <f t="shared" si="24"/>
        <v>1060.44</v>
      </c>
      <c r="I113" s="23">
        <v>0.1</v>
      </c>
      <c r="J113" s="42">
        <f t="shared" si="25"/>
        <v>1135.0650000000001</v>
      </c>
    </row>
    <row r="114" spans="3:10" hidden="1" x14ac:dyDescent="0.25">
      <c r="C114" s="12" t="s">
        <v>37</v>
      </c>
      <c r="D114" s="13">
        <v>10</v>
      </c>
      <c r="E114" s="12">
        <v>1209.69</v>
      </c>
      <c r="F114" s="12"/>
      <c r="G114" s="12">
        <v>149.25</v>
      </c>
      <c r="H114" s="12">
        <f t="shared" si="24"/>
        <v>1060.44</v>
      </c>
      <c r="I114" s="23">
        <v>0.1</v>
      </c>
      <c r="J114" s="42">
        <f t="shared" si="25"/>
        <v>1135.0650000000001</v>
      </c>
    </row>
    <row r="115" spans="3:10" ht="14.4" hidden="1" x14ac:dyDescent="0.3">
      <c r="C115" s="12" t="s">
        <v>38</v>
      </c>
      <c r="D115" s="13" t="s">
        <v>39</v>
      </c>
      <c r="E115" s="12">
        <v>399.99999999999977</v>
      </c>
      <c r="F115" s="12"/>
      <c r="G115" s="12">
        <v>288</v>
      </c>
      <c r="H115" s="12">
        <f t="shared" si="24"/>
        <v>111.99999999999977</v>
      </c>
      <c r="I115" s="27">
        <f>AVERAGE(10.5%,11.55%)</f>
        <v>0.11025</v>
      </c>
      <c r="J115" s="42">
        <f t="shared" si="25"/>
        <v>255.99999999999977</v>
      </c>
    </row>
    <row r="116" spans="3:10" ht="14.4" hidden="1" x14ac:dyDescent="0.3">
      <c r="C116" s="20" t="s">
        <v>40</v>
      </c>
      <c r="D116" s="21"/>
      <c r="E116" s="20">
        <f>SUM(E109:E115)</f>
        <v>6424.4600000000009</v>
      </c>
      <c r="F116" s="20">
        <f>SUM(F109:F115)</f>
        <v>0</v>
      </c>
      <c r="G116" s="20">
        <f>SUM(G109:G115)</f>
        <v>1404.86</v>
      </c>
      <c r="H116" s="20">
        <f>SUM(H109:H115)</f>
        <v>5019.6000000000004</v>
      </c>
    </row>
    <row r="117" spans="3:10" ht="14.4" hidden="1" x14ac:dyDescent="0.3">
      <c r="C117" s="20" t="s">
        <v>41</v>
      </c>
      <c r="D117" s="21"/>
      <c r="E117" s="20">
        <f>E108+E116</f>
        <v>8142.3000000000011</v>
      </c>
      <c r="F117" s="20">
        <f t="shared" ref="F117:H117" si="27">F108+F116</f>
        <v>0</v>
      </c>
      <c r="G117" s="20">
        <f t="shared" si="27"/>
        <v>1630.35</v>
      </c>
      <c r="H117" s="20">
        <f t="shared" si="27"/>
        <v>6511.9500000000007</v>
      </c>
    </row>
    <row r="118" spans="3:10" hidden="1" x14ac:dyDescent="0.25"/>
    <row r="119" spans="3:10" hidden="1" x14ac:dyDescent="0.25">
      <c r="C119" s="9" t="s">
        <v>5</v>
      </c>
      <c r="D119" s="9"/>
      <c r="E119" s="9"/>
      <c r="F119" s="9"/>
      <c r="G119" s="9"/>
      <c r="H119" s="9"/>
    </row>
    <row r="120" spans="3:10" ht="14.4" hidden="1" x14ac:dyDescent="0.3">
      <c r="C120" s="47" t="s">
        <v>63</v>
      </c>
      <c r="D120" s="47"/>
      <c r="E120" s="47"/>
      <c r="F120" s="47"/>
      <c r="G120" s="47"/>
      <c r="H120" s="47"/>
    </row>
    <row r="121" spans="3:10" ht="57.6" hidden="1" x14ac:dyDescent="0.25">
      <c r="C121" s="10" t="s">
        <v>10</v>
      </c>
      <c r="D121" s="10" t="s">
        <v>11</v>
      </c>
      <c r="E121" s="10" t="s">
        <v>64</v>
      </c>
      <c r="F121" s="10" t="s">
        <v>13</v>
      </c>
      <c r="G121" s="10" t="s">
        <v>14</v>
      </c>
      <c r="H121" s="10" t="s">
        <v>65</v>
      </c>
      <c r="I121" s="10" t="s">
        <v>16</v>
      </c>
      <c r="J121" s="10" t="s">
        <v>17</v>
      </c>
    </row>
    <row r="122" spans="3:10" hidden="1" x14ac:dyDescent="0.25">
      <c r="C122" s="12" t="s">
        <v>19</v>
      </c>
      <c r="D122" s="13" t="s">
        <v>20</v>
      </c>
      <c r="E122" s="12">
        <v>1096.7300000000002</v>
      </c>
      <c r="F122" s="12">
        <v>0</v>
      </c>
      <c r="G122" s="12">
        <v>212.04</v>
      </c>
      <c r="H122" s="12">
        <f>E122+F122-G122</f>
        <v>884.69000000000028</v>
      </c>
      <c r="I122" s="41">
        <f>AVERAGE(10.25%,11.61%)</f>
        <v>0.10929999999999999</v>
      </c>
      <c r="J122" s="42">
        <f t="shared" ref="J122:J135" si="28">AVERAGE(E122,H122)</f>
        <v>990.71000000000026</v>
      </c>
    </row>
    <row r="123" spans="3:10" hidden="1" x14ac:dyDescent="0.25">
      <c r="C123" s="12" t="s">
        <v>21</v>
      </c>
      <c r="D123" s="13">
        <v>9</v>
      </c>
      <c r="E123" s="12">
        <v>3.8100000000000009</v>
      </c>
      <c r="F123" s="12">
        <v>0</v>
      </c>
      <c r="G123" s="12">
        <v>0.89</v>
      </c>
      <c r="H123" s="12">
        <f t="shared" ref="H123:H134" si="29">E123+F123-G123</f>
        <v>2.9200000000000008</v>
      </c>
      <c r="I123" s="41">
        <v>0.09</v>
      </c>
      <c r="J123" s="42">
        <f t="shared" si="28"/>
        <v>3.3650000000000011</v>
      </c>
    </row>
    <row r="124" spans="3:10" hidden="1" x14ac:dyDescent="0.25">
      <c r="C124" s="12" t="s">
        <v>22</v>
      </c>
      <c r="D124" s="13" t="s">
        <v>23</v>
      </c>
      <c r="E124" s="12">
        <v>3.9400000000000039</v>
      </c>
      <c r="F124" s="12">
        <v>0</v>
      </c>
      <c r="G124" s="12">
        <v>3.94</v>
      </c>
      <c r="H124" s="12">
        <v>0</v>
      </c>
      <c r="I124" s="41">
        <f>AVERAGE(10.62%,11.85%)</f>
        <v>0.11234999999999999</v>
      </c>
      <c r="J124" s="42">
        <f t="shared" si="28"/>
        <v>1.970000000000002</v>
      </c>
    </row>
    <row r="125" spans="3:10" hidden="1" x14ac:dyDescent="0.25">
      <c r="C125" s="12" t="s">
        <v>24</v>
      </c>
      <c r="D125" s="13" t="s">
        <v>25</v>
      </c>
      <c r="E125" s="12">
        <v>30.519999999999992</v>
      </c>
      <c r="F125" s="12">
        <v>0</v>
      </c>
      <c r="G125" s="12">
        <v>4.7</v>
      </c>
      <c r="H125" s="12">
        <f t="shared" si="29"/>
        <v>25.819999999999993</v>
      </c>
      <c r="I125" s="41">
        <f>AVERAGE(11.1%,11.6%)</f>
        <v>0.11349999999999999</v>
      </c>
      <c r="J125" s="42">
        <f t="shared" si="28"/>
        <v>28.169999999999995</v>
      </c>
    </row>
    <row r="126" spans="3:10" hidden="1" x14ac:dyDescent="0.25">
      <c r="C126" s="12" t="s">
        <v>26</v>
      </c>
      <c r="D126" s="13">
        <v>0.65</v>
      </c>
      <c r="E126" s="12">
        <v>351.28</v>
      </c>
      <c r="F126" s="12">
        <v>0</v>
      </c>
      <c r="G126" s="12">
        <v>0</v>
      </c>
      <c r="H126" s="12">
        <f t="shared" si="29"/>
        <v>351.28</v>
      </c>
      <c r="I126" s="14">
        <v>6.4999999999999997E-3</v>
      </c>
      <c r="J126" s="42">
        <f t="shared" si="28"/>
        <v>351.28</v>
      </c>
    </row>
    <row r="127" spans="3:10" hidden="1" x14ac:dyDescent="0.25">
      <c r="C127" s="12" t="s">
        <v>28</v>
      </c>
      <c r="D127" s="13">
        <v>1</v>
      </c>
      <c r="E127" s="12">
        <v>6.07</v>
      </c>
      <c r="F127" s="12">
        <v>0</v>
      </c>
      <c r="G127" s="12">
        <v>0</v>
      </c>
      <c r="H127" s="12">
        <f t="shared" si="29"/>
        <v>6.07</v>
      </c>
      <c r="I127" s="41">
        <v>0.01</v>
      </c>
      <c r="J127" s="42">
        <f t="shared" si="28"/>
        <v>6.07</v>
      </c>
    </row>
    <row r="128" spans="3:10" ht="14.4" hidden="1" x14ac:dyDescent="0.3">
      <c r="C128" s="20" t="s">
        <v>29</v>
      </c>
      <c r="D128" s="21"/>
      <c r="E128" s="20">
        <f t="shared" ref="E128:F128" si="30">SUM(E122:E127)</f>
        <v>1492.3500000000001</v>
      </c>
      <c r="F128" s="20">
        <f t="shared" si="30"/>
        <v>0</v>
      </c>
      <c r="G128" s="20">
        <f>SUM(G122:G127)</f>
        <v>221.56999999999996</v>
      </c>
      <c r="H128" s="20">
        <f>SUM(H122:H127)</f>
        <v>1270.7800000000002</v>
      </c>
    </row>
    <row r="129" spans="3:10" hidden="1" x14ac:dyDescent="0.25">
      <c r="C129" s="12" t="s">
        <v>30</v>
      </c>
      <c r="D129" s="13" t="s">
        <v>31</v>
      </c>
      <c r="E129" s="12">
        <v>924.02</v>
      </c>
      <c r="F129" s="12">
        <v>0</v>
      </c>
      <c r="G129" s="12">
        <v>0</v>
      </c>
      <c r="H129" s="12">
        <f t="shared" si="29"/>
        <v>924.02</v>
      </c>
      <c r="I129" s="23">
        <v>0.1</v>
      </c>
      <c r="J129" s="42">
        <f t="shared" si="28"/>
        <v>924.02</v>
      </c>
    </row>
    <row r="130" spans="3:10" ht="14.4" hidden="1" x14ac:dyDescent="0.3">
      <c r="C130" s="12" t="s">
        <v>32</v>
      </c>
      <c r="D130" s="13" t="s">
        <v>33</v>
      </c>
      <c r="E130" s="12">
        <v>0</v>
      </c>
      <c r="F130" s="12">
        <v>0</v>
      </c>
      <c r="G130" s="12">
        <v>0</v>
      </c>
      <c r="H130" s="12">
        <f t="shared" si="29"/>
        <v>0</v>
      </c>
      <c r="I130" s="27">
        <f>AVERAGE(11.4%,11.75%)</f>
        <v>0.11574999999999999</v>
      </c>
      <c r="J130" s="42">
        <f t="shared" si="28"/>
        <v>0</v>
      </c>
    </row>
    <row r="131" spans="3:10" hidden="1" x14ac:dyDescent="0.25">
      <c r="C131" s="12" t="s">
        <v>34</v>
      </c>
      <c r="D131" s="13">
        <v>9.75</v>
      </c>
      <c r="E131" s="12">
        <v>909.18000000000018</v>
      </c>
      <c r="F131" s="12">
        <v>0</v>
      </c>
      <c r="G131" s="12">
        <v>389.64</v>
      </c>
      <c r="H131" s="12">
        <f t="shared" si="29"/>
        <v>519.54000000000019</v>
      </c>
      <c r="I131" s="26">
        <v>9.7500000000000003E-2</v>
      </c>
      <c r="J131" s="42">
        <f t="shared" si="28"/>
        <v>714.36000000000013</v>
      </c>
    </row>
    <row r="132" spans="3:10" hidden="1" x14ac:dyDescent="0.25">
      <c r="C132" s="12" t="s">
        <v>35</v>
      </c>
      <c r="D132" s="13">
        <v>9.75</v>
      </c>
      <c r="E132" s="12">
        <v>953.52</v>
      </c>
      <c r="F132" s="12">
        <v>0</v>
      </c>
      <c r="G132" s="12">
        <v>388.08</v>
      </c>
      <c r="H132" s="12">
        <f t="shared" si="29"/>
        <v>565.44000000000005</v>
      </c>
      <c r="I132" s="26">
        <v>9.7500000000000003E-2</v>
      </c>
      <c r="J132" s="42">
        <f t="shared" si="28"/>
        <v>759.48</v>
      </c>
    </row>
    <row r="133" spans="3:10" hidden="1" x14ac:dyDescent="0.25">
      <c r="C133" s="12" t="s">
        <v>36</v>
      </c>
      <c r="D133" s="13">
        <v>10</v>
      </c>
      <c r="E133" s="12">
        <v>1060.44</v>
      </c>
      <c r="F133" s="12"/>
      <c r="G133" s="12">
        <v>149.25</v>
      </c>
      <c r="H133" s="12">
        <f t="shared" si="29"/>
        <v>911.19</v>
      </c>
      <c r="I133" s="23">
        <v>0.1</v>
      </c>
      <c r="J133" s="42">
        <f t="shared" si="28"/>
        <v>985.81500000000005</v>
      </c>
    </row>
    <row r="134" spans="3:10" hidden="1" x14ac:dyDescent="0.25">
      <c r="C134" s="12" t="s">
        <v>37</v>
      </c>
      <c r="D134" s="13">
        <v>10</v>
      </c>
      <c r="E134" s="12">
        <v>1060.44</v>
      </c>
      <c r="F134" s="12"/>
      <c r="G134" s="12">
        <v>149.25</v>
      </c>
      <c r="H134" s="12">
        <f t="shared" si="29"/>
        <v>911.19</v>
      </c>
      <c r="I134" s="23">
        <v>0.1</v>
      </c>
      <c r="J134" s="42">
        <f t="shared" si="28"/>
        <v>985.81500000000005</v>
      </c>
    </row>
    <row r="135" spans="3:10" ht="14.4" hidden="1" x14ac:dyDescent="0.3">
      <c r="C135" s="12" t="s">
        <v>38</v>
      </c>
      <c r="D135" s="13" t="s">
        <v>39</v>
      </c>
      <c r="E135" s="12">
        <v>111.99999999999977</v>
      </c>
      <c r="F135" s="12"/>
      <c r="G135" s="12">
        <v>112</v>
      </c>
      <c r="H135" s="12">
        <v>0</v>
      </c>
      <c r="I135" s="27">
        <f>AVERAGE(10.5%,11.55%)</f>
        <v>0.11025</v>
      </c>
      <c r="J135" s="42">
        <f t="shared" si="28"/>
        <v>55.999999999999886</v>
      </c>
    </row>
    <row r="136" spans="3:10" ht="14.4" hidden="1" x14ac:dyDescent="0.3">
      <c r="C136" s="20" t="s">
        <v>40</v>
      </c>
      <c r="D136" s="21"/>
      <c r="E136" s="20">
        <f>SUM(E129:E135)</f>
        <v>5019.6000000000004</v>
      </c>
      <c r="F136" s="20">
        <f t="shared" ref="F136" si="31">SUM(F129:F135)</f>
        <v>0</v>
      </c>
      <c r="G136" s="20">
        <f>SUM(G129:G135)</f>
        <v>1188.22</v>
      </c>
      <c r="H136" s="20">
        <f>SUM(H129:H135)</f>
        <v>3831.3800000000006</v>
      </c>
    </row>
    <row r="137" spans="3:10" ht="14.4" hidden="1" x14ac:dyDescent="0.3">
      <c r="C137" s="20" t="s">
        <v>41</v>
      </c>
      <c r="D137" s="21"/>
      <c r="E137" s="20">
        <f>E128+E136</f>
        <v>6511.9500000000007</v>
      </c>
      <c r="F137" s="20">
        <f t="shared" ref="F137:H137" si="32">F128+F136</f>
        <v>0</v>
      </c>
      <c r="G137" s="20">
        <f t="shared" si="32"/>
        <v>1409.79</v>
      </c>
      <c r="H137" s="20">
        <f t="shared" si="32"/>
        <v>5102.1600000000008</v>
      </c>
    </row>
    <row r="138" spans="3:10" hidden="1" x14ac:dyDescent="0.25"/>
    <row r="139" spans="3:10" hidden="1" x14ac:dyDescent="0.25"/>
  </sheetData>
  <mergeCells count="6">
    <mergeCell ref="C120:H120"/>
    <mergeCell ref="C12:H12"/>
    <mergeCell ref="C33:H33"/>
    <mergeCell ref="C60:H60"/>
    <mergeCell ref="C80:H80"/>
    <mergeCell ref="C100:H100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Loan Portfolio</vt:lpstr>
      <vt:lpstr>'Loan Portfolio'!Print_Area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2026-01-02T14:22:05Z</dcterms:modified>
</cp:coreProperties>
</file>