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20" yWindow="-120" windowWidth="15600" windowHeight="11760" tabRatio="926" activeTab="13"/>
  </bookViews>
  <sheets>
    <sheet name="Title" sheetId="112" r:id="rId1"/>
    <sheet name="Checklist" sheetId="57" r:id="rId2"/>
    <sheet name="F1" sheetId="58" r:id="rId3"/>
    <sheet name="F2" sheetId="66" r:id="rId4"/>
    <sheet name="F2.1" sheetId="67" r:id="rId5"/>
    <sheet name="F2.2" sheetId="68" r:id="rId6"/>
    <sheet name="F2.3" sheetId="69" r:id="rId7"/>
    <sheet name="F3" sheetId="93" r:id="rId8"/>
    <sheet name="F4" sheetId="102" r:id="rId9"/>
    <sheet name="F5" sheetId="103" r:id="rId10"/>
    <sheet name="F6" sheetId="104" r:id="rId11"/>
    <sheet name="F7" sheetId="105" r:id="rId12"/>
    <sheet name="F8" sheetId="106" r:id="rId13"/>
    <sheet name="F10" sheetId="72" r:id="rId14"/>
    <sheet name="F11" sheetId="7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" localSheetId="7" hidden="1">[1]CE!#REF!</definedName>
    <definedName name="__123Graph_A" localSheetId="8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hidden="1">[1]CE!#REF!</definedName>
    <definedName name="__123Graph_ASTNPLF" localSheetId="7" hidden="1">[1]CE!#REF!</definedName>
    <definedName name="__123Graph_ASTNPLF" localSheetId="8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hidden="1">[1]CE!#REF!</definedName>
    <definedName name="__123Graph_B" localSheetId="7" hidden="1">[1]CE!#REF!</definedName>
    <definedName name="__123Graph_B" localSheetId="8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hidden="1">[1]CE!#REF!</definedName>
    <definedName name="__123Graph_BSTNPLF" localSheetId="7" hidden="1">[1]CE!#REF!</definedName>
    <definedName name="__123Graph_BSTNPLF" localSheetId="8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hidden="1">[1]CE!#REF!</definedName>
    <definedName name="__123Graph_C" localSheetId="7" hidden="1">[1]CE!#REF!</definedName>
    <definedName name="__123Graph_C" localSheetId="8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hidden="1">[1]CE!#REF!</definedName>
    <definedName name="__123Graph_CSTNPLF" localSheetId="7" hidden="1">[1]CE!#REF!</definedName>
    <definedName name="__123Graph_CSTNPLF" localSheetId="8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hidden="1">[1]CE!#REF!</definedName>
    <definedName name="__123Graph_X" localSheetId="7" hidden="1">[1]CE!#REF!</definedName>
    <definedName name="__123Graph_X" localSheetId="8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hidden="1">[1]CE!#REF!</definedName>
    <definedName name="__123Graph_XSTNPLF" localSheetId="7" hidden="1">[1]CE!#REF!</definedName>
    <definedName name="__123Graph_XSTNPLF" localSheetId="8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hidden="1">[1]CE!#REF!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hidden="1">#REF!</definedName>
    <definedName name="_Order1" hidden="1">255</definedName>
    <definedName name="A" hidden="1">[2]CE!#REF!</definedName>
    <definedName name="new" localSheetId="7" hidden="1">[2]CE!#REF!</definedName>
    <definedName name="new" localSheetId="8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hidden="1">[2]CE!#REF!</definedName>
    <definedName name="_xlnm.Print_Area" localSheetId="1">Checklist!$A$1:$E$22</definedName>
    <definedName name="_xlnm.Print_Area" localSheetId="2">'F1'!$B$1:$P$19</definedName>
    <definedName name="_xlnm.Print_Area" localSheetId="13">'F10'!$A$1:$H$65</definedName>
    <definedName name="_xlnm.Print_Area" localSheetId="3">'F2'!$B$1:$O$10</definedName>
    <definedName name="_xlnm.Print_Area" localSheetId="4">F2.1!$A$1:$H$35</definedName>
    <definedName name="_xlnm.Print_Area" localSheetId="5">F2.2!$B$1:$H$39</definedName>
    <definedName name="_xlnm.Print_Area" localSheetId="6">F2.3!$A$1:$H$23</definedName>
    <definedName name="_xlnm.Print_Area" localSheetId="7">'F3'!$A$1:$N$10</definedName>
    <definedName name="_xlnm.Print_Area" localSheetId="8">'F4'!$B$1:$O$38</definedName>
    <definedName name="_xlnm.Print_Area" localSheetId="9">'F5'!$B$1:$N$21</definedName>
    <definedName name="_xlnm.Print_Area" localSheetId="10">'F6'!$B$1:$N$11</definedName>
    <definedName name="_xlnm.Print_Area" localSheetId="11">'F7'!$B$1:$N$20</definedName>
    <definedName name="_xlnm.Print_Area" localSheetId="12">'F8'!$B$1:$N$16</definedName>
    <definedName name="xxxx" localSheetId="7" hidden="1">[3]CE!#REF!</definedName>
    <definedName name="xxxx" localSheetId="8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hidden="1">[3]CE!#REF!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02"/>
  <c r="G10"/>
  <c r="G11" s="1"/>
  <c r="G9"/>
  <c r="E13" i="67" l="1"/>
  <c r="F17"/>
  <c r="F21"/>
  <c r="F29"/>
  <c r="G8"/>
  <c r="G11"/>
  <c r="F11" s="1"/>
  <c r="G12"/>
  <c r="G15"/>
  <c r="F15" s="1"/>
  <c r="G16"/>
  <c r="F16" s="1"/>
  <c r="G17"/>
  <c r="H17" s="1"/>
  <c r="G18"/>
  <c r="F18" s="1"/>
  <c r="G19"/>
  <c r="F19" s="1"/>
  <c r="G20"/>
  <c r="F20" s="1"/>
  <c r="G21"/>
  <c r="H21" s="1"/>
  <c r="G22"/>
  <c r="F22" s="1"/>
  <c r="G23"/>
  <c r="F23" s="1"/>
  <c r="G26"/>
  <c r="F26" s="1"/>
  <c r="G27"/>
  <c r="F27" s="1"/>
  <c r="G29"/>
  <c r="H29" s="1"/>
  <c r="G30"/>
  <c r="F30" s="1"/>
  <c r="H30" l="1"/>
  <c r="H26"/>
  <c r="H22"/>
  <c r="H18"/>
  <c r="H27"/>
  <c r="H23"/>
  <c r="H19"/>
  <c r="H15"/>
  <c r="H11"/>
  <c r="H20"/>
  <c r="H16"/>
  <c r="H12"/>
  <c r="H8"/>
  <c r="L16" i="103"/>
  <c r="L18" s="1"/>
  <c r="L15"/>
  <c r="M15" i="105" l="1"/>
  <c r="L15"/>
  <c r="J15"/>
  <c r="I15"/>
  <c r="K17" i="102"/>
  <c r="K19"/>
  <c r="K20"/>
  <c r="G15" i="103" l="1"/>
  <c r="G10"/>
  <c r="G14"/>
  <c r="G16" s="1"/>
  <c r="F18" i="78"/>
  <c r="E7" i="106"/>
  <c r="F7"/>
  <c r="G7"/>
  <c r="H7"/>
  <c r="I7"/>
  <c r="J7"/>
  <c r="K7"/>
  <c r="L7"/>
  <c r="M7"/>
  <c r="N7"/>
  <c r="E8"/>
  <c r="F8"/>
  <c r="G8"/>
  <c r="H8"/>
  <c r="I8"/>
  <c r="J8"/>
  <c r="K8"/>
  <c r="L8"/>
  <c r="M8"/>
  <c r="N8"/>
  <c r="E9"/>
  <c r="F9"/>
  <c r="G9"/>
  <c r="H9"/>
  <c r="I9"/>
  <c r="J9"/>
  <c r="K9"/>
  <c r="L9"/>
  <c r="M9"/>
  <c r="N9"/>
  <c r="E10"/>
  <c r="F10"/>
  <c r="G10"/>
  <c r="H10"/>
  <c r="I10"/>
  <c r="J10"/>
  <c r="K10"/>
  <c r="L10"/>
  <c r="M10"/>
  <c r="N10"/>
  <c r="E11"/>
  <c r="F11"/>
  <c r="G11"/>
  <c r="H11"/>
  <c r="I11"/>
  <c r="J11"/>
  <c r="K11"/>
  <c r="L11"/>
  <c r="M11"/>
  <c r="N11"/>
  <c r="E12"/>
  <c r="F12"/>
  <c r="G12"/>
  <c r="H12"/>
  <c r="I12"/>
  <c r="J12"/>
  <c r="K12"/>
  <c r="L12"/>
  <c r="M12"/>
  <c r="N12"/>
  <c r="E13"/>
  <c r="F13"/>
  <c r="G13"/>
  <c r="H13"/>
  <c r="I13"/>
  <c r="J13"/>
  <c r="K13"/>
  <c r="L13"/>
  <c r="M13"/>
  <c r="N13"/>
  <c r="E14"/>
  <c r="F14"/>
  <c r="G14"/>
  <c r="H14"/>
  <c r="I14"/>
  <c r="J14"/>
  <c r="K14"/>
  <c r="L14"/>
  <c r="M14"/>
  <c r="N14"/>
  <c r="D11"/>
  <c r="D12"/>
  <c r="D13"/>
  <c r="D14"/>
  <c r="D10"/>
  <c r="D9"/>
  <c r="D8"/>
  <c r="D7"/>
  <c r="J10" i="105"/>
  <c r="G11" i="104"/>
  <c r="G20" i="103" l="1"/>
  <c r="G18"/>
  <c r="E7" i="93"/>
  <c r="F7"/>
  <c r="E8"/>
  <c r="F8"/>
  <c r="E9"/>
  <c r="F9"/>
  <c r="E10"/>
  <c r="F10"/>
  <c r="D8"/>
  <c r="D9"/>
  <c r="D10"/>
  <c r="D7"/>
  <c r="K10" i="102"/>
  <c r="K9"/>
  <c r="F10" l="1"/>
  <c r="F9"/>
  <c r="G10" i="68" l="1"/>
  <c r="H10" s="1"/>
  <c r="G13"/>
  <c r="H13" s="1"/>
  <c r="G14"/>
  <c r="H14" s="1"/>
  <c r="G15"/>
  <c r="H15" s="1"/>
  <c r="G18"/>
  <c r="H18" s="1"/>
  <c r="G20"/>
  <c r="H20" s="1"/>
  <c r="G21"/>
  <c r="H21" s="1"/>
  <c r="G22"/>
  <c r="H22" s="1"/>
  <c r="G23"/>
  <c r="H23" s="1"/>
  <c r="G24"/>
  <c r="H24" s="1"/>
  <c r="G26"/>
  <c r="H26" s="1"/>
  <c r="G27"/>
  <c r="H27" s="1"/>
  <c r="G28"/>
  <c r="H28" s="1"/>
  <c r="G29"/>
  <c r="H29" s="1"/>
  <c r="G31"/>
  <c r="H31" s="1"/>
  <c r="G34"/>
  <c r="H34" s="1"/>
  <c r="G7" i="67"/>
  <c r="H7" s="1"/>
  <c r="J9" i="102"/>
  <c r="J10"/>
  <c r="N15" i="106" l="1"/>
  <c r="K15"/>
  <c r="F15"/>
  <c r="L18" i="105"/>
  <c r="L17"/>
  <c r="L8"/>
  <c r="K10"/>
  <c r="G18"/>
  <c r="G17"/>
  <c r="G19" s="1"/>
  <c r="G8"/>
  <c r="N11" i="103"/>
  <c r="N19"/>
  <c r="K7" i="93"/>
  <c r="M10" i="66"/>
  <c r="H10"/>
  <c r="E10"/>
  <c r="P16" i="58"/>
  <c r="N19"/>
  <c r="I19"/>
  <c r="L19" i="105" l="1"/>
  <c r="H14" i="58"/>
  <c r="F11" i="102" l="1"/>
  <c r="G35"/>
  <c r="G34"/>
  <c r="G33"/>
  <c r="G32"/>
  <c r="G30"/>
  <c r="G29"/>
  <c r="G7"/>
  <c r="M8" i="93"/>
  <c r="N8" s="1"/>
  <c r="I8"/>
  <c r="H8"/>
  <c r="I7" i="102" l="1"/>
  <c r="G37"/>
  <c r="M9" i="93" s="1"/>
  <c r="N9" s="1"/>
  <c r="H11" i="102"/>
  <c r="J29" i="69" l="1"/>
  <c r="K23" l="1"/>
  <c r="K22"/>
  <c r="G8" i="78"/>
  <c r="G9"/>
  <c r="G10"/>
  <c r="G11"/>
  <c r="G12"/>
  <c r="G16"/>
  <c r="I7" i="93"/>
  <c r="D14" i="78"/>
  <c r="F64" i="72"/>
  <c r="H64" s="1"/>
  <c r="F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E56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H46"/>
  <c r="G46"/>
  <c r="G45"/>
  <c r="H45" s="1"/>
  <c r="G44"/>
  <c r="H44" s="1"/>
  <c r="G43"/>
  <c r="H43" s="1"/>
  <c r="G42"/>
  <c r="H42" s="1"/>
  <c r="G41"/>
  <c r="H41" s="1"/>
  <c r="H40"/>
  <c r="G40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E15"/>
  <c r="E65" s="1"/>
  <c r="G14"/>
  <c r="H14" s="1"/>
  <c r="G13"/>
  <c r="H13" s="1"/>
  <c r="G12"/>
  <c r="H12" s="1"/>
  <c r="G11"/>
  <c r="H11" s="1"/>
  <c r="G10"/>
  <c r="H10" s="1"/>
  <c r="G8"/>
  <c r="G7"/>
  <c r="H7" s="1"/>
  <c r="H7" i="93" l="1"/>
  <c r="G65" i="72"/>
  <c r="G67" s="1"/>
  <c r="J8" i="93"/>
  <c r="H8" i="72"/>
  <c r="H65" s="1"/>
  <c r="K64" s="1"/>
  <c r="F65"/>
  <c r="D18" i="78"/>
  <c r="E15" i="69"/>
  <c r="E7"/>
  <c r="D14"/>
  <c r="D7"/>
  <c r="E28" i="67"/>
  <c r="E25"/>
  <c r="E24"/>
  <c r="E14"/>
  <c r="E12"/>
  <c r="F12" s="1"/>
  <c r="E10"/>
  <c r="E9"/>
  <c r="E8"/>
  <c r="F8" s="1"/>
  <c r="E7"/>
  <c r="D28"/>
  <c r="G28" s="1"/>
  <c r="D25"/>
  <c r="G25" s="1"/>
  <c r="D24"/>
  <c r="G24" s="1"/>
  <c r="D14"/>
  <c r="G14" s="1"/>
  <c r="D13"/>
  <c r="G13" s="1"/>
  <c r="D10"/>
  <c r="G10" s="1"/>
  <c r="D9"/>
  <c r="G9" s="1"/>
  <c r="E9" i="68"/>
  <c r="E7"/>
  <c r="F18"/>
  <c r="F31"/>
  <c r="D33"/>
  <c r="G33" s="1"/>
  <c r="H33" s="1"/>
  <c r="D32"/>
  <c r="D30"/>
  <c r="D25"/>
  <c r="G25" s="1"/>
  <c r="H25" s="1"/>
  <c r="D19"/>
  <c r="G19" s="1"/>
  <c r="D17"/>
  <c r="G17" s="1"/>
  <c r="H17" s="1"/>
  <c r="D16"/>
  <c r="D12"/>
  <c r="G12" s="1"/>
  <c r="H12" s="1"/>
  <c r="D11"/>
  <c r="D9"/>
  <c r="G9" s="1"/>
  <c r="H9" s="1"/>
  <c r="D8"/>
  <c r="D7"/>
  <c r="F33"/>
  <c r="F32" i="67"/>
  <c r="H32"/>
  <c r="F36" i="68"/>
  <c r="G36" s="1"/>
  <c r="H36" s="1"/>
  <c r="F25" l="1"/>
  <c r="G32"/>
  <c r="H32" s="1"/>
  <c r="H13" i="67"/>
  <c r="F13"/>
  <c r="G8" i="68"/>
  <c r="H8" s="1"/>
  <c r="G30"/>
  <c r="H30" s="1"/>
  <c r="F10" i="67"/>
  <c r="H10"/>
  <c r="H25"/>
  <c r="F25"/>
  <c r="G7" i="68"/>
  <c r="H7" s="1"/>
  <c r="H9" i="67"/>
  <c r="F9"/>
  <c r="F24"/>
  <c r="H24"/>
  <c r="F11" i="68"/>
  <c r="G11"/>
  <c r="H11" s="1"/>
  <c r="F19"/>
  <c r="H19"/>
  <c r="F14" i="67"/>
  <c r="H14"/>
  <c r="D16" i="69"/>
  <c r="F9" i="66" s="1"/>
  <c r="G9" s="1"/>
  <c r="F12" i="68"/>
  <c r="F28" i="67"/>
  <c r="H28"/>
  <c r="G16" i="68"/>
  <c r="H16" s="1"/>
  <c r="K8" i="93"/>
  <c r="F9" i="68"/>
  <c r="E35"/>
  <c r="E37" s="1"/>
  <c r="I8" i="66" s="1"/>
  <c r="E31" i="67"/>
  <c r="E33" s="1"/>
  <c r="I7" i="66" s="1"/>
  <c r="D31" i="67"/>
  <c r="F17" i="68"/>
  <c r="D35"/>
  <c r="D37" s="1"/>
  <c r="M16" i="106"/>
  <c r="J16"/>
  <c r="I16"/>
  <c r="K13" i="58" s="1"/>
  <c r="H16" i="106"/>
  <c r="J13" i="58" s="1"/>
  <c r="E16" i="106"/>
  <c r="F16" s="1"/>
  <c r="F30" i="68" l="1"/>
  <c r="G35"/>
  <c r="G37" s="1"/>
  <c r="K8" i="66" s="1"/>
  <c r="L8" s="1"/>
  <c r="F16" i="68"/>
  <c r="F7"/>
  <c r="F8"/>
  <c r="F32"/>
  <c r="F35" s="1"/>
  <c r="F8" i="66"/>
  <c r="G8" s="1"/>
  <c r="D33" i="67"/>
  <c r="L13" i="58"/>
  <c r="M13" s="1"/>
  <c r="K16" i="106"/>
  <c r="O13" i="58"/>
  <c r="G30" s="1"/>
  <c r="N16" i="106"/>
  <c r="H35" i="68"/>
  <c r="H37" s="1"/>
  <c r="N8" i="66" s="1"/>
  <c r="O8" s="1"/>
  <c r="F7" i="67"/>
  <c r="J11" i="103"/>
  <c r="K11" s="1"/>
  <c r="J19"/>
  <c r="K19" s="1"/>
  <c r="P13" i="58" l="1"/>
  <c r="F7" i="66"/>
  <c r="E30" i="58"/>
  <c r="F37" i="68"/>
  <c r="J8" i="66"/>
  <c r="F9" i="69"/>
  <c r="F10"/>
  <c r="F11"/>
  <c r="F12"/>
  <c r="G7" i="66" l="1"/>
  <c r="F10"/>
  <c r="F31" i="67"/>
  <c r="F33" s="1"/>
  <c r="J7" i="66" s="1"/>
  <c r="H31" i="67"/>
  <c r="H33" s="1"/>
  <c r="N7" i="66" s="1"/>
  <c r="G31" i="67"/>
  <c r="J15" i="69"/>
  <c r="K11" s="1"/>
  <c r="G10" i="66" l="1"/>
  <c r="G7" i="58"/>
  <c r="G33" i="67"/>
  <c r="K7" i="66" s="1"/>
  <c r="L7" s="1"/>
  <c r="O7"/>
  <c r="K28" i="69"/>
  <c r="K26"/>
  <c r="K27"/>
  <c r="K29"/>
  <c r="K24"/>
  <c r="K21"/>
  <c r="K25"/>
  <c r="K12"/>
  <c r="K8"/>
  <c r="K7"/>
  <c r="K13"/>
  <c r="K9"/>
  <c r="K14"/>
  <c r="K10"/>
  <c r="K15"/>
  <c r="E6" i="78" l="1"/>
  <c r="H7" i="58"/>
  <c r="K7" i="102"/>
  <c r="G8"/>
  <c r="G13" i="58"/>
  <c r="G6" i="78" l="1"/>
  <c r="H13" i="58"/>
  <c r="E16" i="69"/>
  <c r="I9" i="66" l="1"/>
  <c r="I10" s="1"/>
  <c r="D19" i="69"/>
  <c r="L37" i="102"/>
  <c r="H37"/>
  <c r="L24"/>
  <c r="N17"/>
  <c r="N19"/>
  <c r="N20"/>
  <c r="M17"/>
  <c r="J30" s="1"/>
  <c r="M19"/>
  <c r="J32" s="1"/>
  <c r="M20"/>
  <c r="J33" s="1"/>
  <c r="I17"/>
  <c r="I20"/>
  <c r="F33" s="1"/>
  <c r="K33" s="1"/>
  <c r="I19"/>
  <c r="F32" s="1"/>
  <c r="K32" s="1"/>
  <c r="G24" l="1"/>
  <c r="I9" i="93" s="1"/>
  <c r="H7" i="104"/>
  <c r="H9" s="1"/>
  <c r="H11" s="1"/>
  <c r="J7" i="58"/>
  <c r="M8" i="105"/>
  <c r="M12" i="103"/>
  <c r="N12" s="1"/>
  <c r="M32" i="102"/>
  <c r="N32"/>
  <c r="O17"/>
  <c r="N33"/>
  <c r="I33"/>
  <c r="M33"/>
  <c r="I32"/>
  <c r="F30"/>
  <c r="K30" s="1"/>
  <c r="O19"/>
  <c r="O20"/>
  <c r="I10" i="93" l="1"/>
  <c r="J9"/>
  <c r="I8" i="105"/>
  <c r="J8" s="1"/>
  <c r="M9"/>
  <c r="M18" s="1"/>
  <c r="N8"/>
  <c r="I12" i="103"/>
  <c r="O33" i="102"/>
  <c r="O32"/>
  <c r="I30"/>
  <c r="M30"/>
  <c r="N30"/>
  <c r="M7"/>
  <c r="J18" s="1"/>
  <c r="N7"/>
  <c r="N8"/>
  <c r="N9"/>
  <c r="N10"/>
  <c r="J11"/>
  <c r="I8"/>
  <c r="F21" s="1"/>
  <c r="K21" s="1"/>
  <c r="I10"/>
  <c r="F23" s="1"/>
  <c r="K23" s="1"/>
  <c r="L11"/>
  <c r="M10"/>
  <c r="M9"/>
  <c r="K8"/>
  <c r="N6"/>
  <c r="M6"/>
  <c r="K6"/>
  <c r="K11" s="1"/>
  <c r="E7" i="78" s="1"/>
  <c r="G6" i="102"/>
  <c r="G7" i="78" l="1"/>
  <c r="E14"/>
  <c r="I9" i="105"/>
  <c r="J9" s="1"/>
  <c r="K9" i="93"/>
  <c r="J10"/>
  <c r="J16" i="102"/>
  <c r="M16" s="1"/>
  <c r="J29" s="1"/>
  <c r="I6"/>
  <c r="F16" s="1"/>
  <c r="K16" s="1"/>
  <c r="J12" i="103"/>
  <c r="K12" s="1"/>
  <c r="N18" i="105"/>
  <c r="N9"/>
  <c r="K8"/>
  <c r="M8" i="102"/>
  <c r="J21" s="1"/>
  <c r="G8" i="58"/>
  <c r="H8" s="1"/>
  <c r="H16" s="1"/>
  <c r="I21" i="102"/>
  <c r="I23"/>
  <c r="I16"/>
  <c r="O10"/>
  <c r="J23"/>
  <c r="J22"/>
  <c r="F18"/>
  <c r="O7"/>
  <c r="I9"/>
  <c r="F22" s="1"/>
  <c r="K22" s="1"/>
  <c r="K24" s="1"/>
  <c r="N11"/>
  <c r="B8" i="104"/>
  <c r="G18" i="69" l="1"/>
  <c r="G25" s="1"/>
  <c r="E18" i="78"/>
  <c r="G18" s="1"/>
  <c r="G14"/>
  <c r="F24" i="102"/>
  <c r="O6"/>
  <c r="O11" s="1"/>
  <c r="I18" i="105"/>
  <c r="K10" i="93"/>
  <c r="M7"/>
  <c r="M10" s="1"/>
  <c r="M11" i="102"/>
  <c r="N16"/>
  <c r="O8"/>
  <c r="J18" i="105"/>
  <c r="K18" s="1"/>
  <c r="K9"/>
  <c r="M22" i="102"/>
  <c r="J35" s="1"/>
  <c r="N22"/>
  <c r="N23"/>
  <c r="J24"/>
  <c r="I9" i="103" s="1"/>
  <c r="J9" s="1"/>
  <c r="K9" s="1"/>
  <c r="M21" i="102"/>
  <c r="O21" s="1"/>
  <c r="O16"/>
  <c r="F29"/>
  <c r="K29" s="1"/>
  <c r="N21"/>
  <c r="F34"/>
  <c r="K34" s="1"/>
  <c r="F36"/>
  <c r="K36" s="1"/>
  <c r="I22"/>
  <c r="I18"/>
  <c r="N18"/>
  <c r="O9"/>
  <c r="G16" i="69" l="1"/>
  <c r="G15" s="1"/>
  <c r="I7" i="105"/>
  <c r="J7" s="1"/>
  <c r="K7" s="1"/>
  <c r="I8" i="103"/>
  <c r="J8" s="1"/>
  <c r="K8" s="1"/>
  <c r="N7" i="93"/>
  <c r="N10"/>
  <c r="I24" i="102"/>
  <c r="H18" i="69" s="1"/>
  <c r="M18" i="102"/>
  <c r="J31" s="1"/>
  <c r="N29"/>
  <c r="I29"/>
  <c r="J34"/>
  <c r="I34"/>
  <c r="I36"/>
  <c r="O22"/>
  <c r="F35"/>
  <c r="K35" s="1"/>
  <c r="K37" s="1"/>
  <c r="N24"/>
  <c r="F31"/>
  <c r="B8" i="106"/>
  <c r="B9" s="1"/>
  <c r="B10" s="1"/>
  <c r="B11" s="1"/>
  <c r="B12" s="1"/>
  <c r="B13" s="1"/>
  <c r="B14" s="1"/>
  <c r="B15" s="1"/>
  <c r="B8" i="105"/>
  <c r="B9" s="1"/>
  <c r="B10" s="1"/>
  <c r="B11" s="1"/>
  <c r="B13" s="1"/>
  <c r="B14" s="1"/>
  <c r="B15" s="1"/>
  <c r="B17" s="1"/>
  <c r="B11" i="104"/>
  <c r="B9" i="103"/>
  <c r="B10" s="1"/>
  <c r="B11" s="1"/>
  <c r="B12" s="1"/>
  <c r="B13" s="1"/>
  <c r="B14" s="1"/>
  <c r="B15" s="1"/>
  <c r="B16" s="1"/>
  <c r="B17" s="1"/>
  <c r="B18" s="1"/>
  <c r="B19" s="1"/>
  <c r="B20" s="1"/>
  <c r="G13" i="69" l="1"/>
  <c r="G7"/>
  <c r="G8"/>
  <c r="G14"/>
  <c r="H25"/>
  <c r="H16"/>
  <c r="F37" i="102"/>
  <c r="O18"/>
  <c r="M13" i="103"/>
  <c r="M29" i="102"/>
  <c r="O29" s="1"/>
  <c r="N34"/>
  <c r="M34"/>
  <c r="O34" s="1"/>
  <c r="I15" i="103"/>
  <c r="J15" s="1"/>
  <c r="M8" s="1"/>
  <c r="I10"/>
  <c r="M35" i="102"/>
  <c r="N35"/>
  <c r="I35"/>
  <c r="I31"/>
  <c r="N31"/>
  <c r="B18" i="105"/>
  <c r="B19" s="1"/>
  <c r="B8" i="58"/>
  <c r="B9" s="1"/>
  <c r="B10" s="1"/>
  <c r="B11" s="1"/>
  <c r="H7" i="69" l="1"/>
  <c r="H14"/>
  <c r="H8"/>
  <c r="H15"/>
  <c r="H13"/>
  <c r="H9"/>
  <c r="N9" i="66"/>
  <c r="K16" i="69"/>
  <c r="N13" i="103"/>
  <c r="O8" i="58"/>
  <c r="K15" i="103"/>
  <c r="J10"/>
  <c r="K10" s="1"/>
  <c r="J17" i="105"/>
  <c r="I11"/>
  <c r="J11" s="1"/>
  <c r="I17"/>
  <c r="I19" s="1"/>
  <c r="O35" i="102"/>
  <c r="M31"/>
  <c r="I37"/>
  <c r="O9" i="66" l="1"/>
  <c r="N10"/>
  <c r="L11" i="69"/>
  <c r="L8"/>
  <c r="L7"/>
  <c r="L14"/>
  <c r="L12"/>
  <c r="L9"/>
  <c r="L13"/>
  <c r="L10"/>
  <c r="L15"/>
  <c r="P8" i="58"/>
  <c r="M7" i="105"/>
  <c r="M11" s="1"/>
  <c r="K11"/>
  <c r="M15" i="103"/>
  <c r="N15" s="1"/>
  <c r="N8"/>
  <c r="K17" i="105"/>
  <c r="J19"/>
  <c r="K19" s="1"/>
  <c r="K11" i="58"/>
  <c r="G22"/>
  <c r="D37"/>
  <c r="O31" i="102"/>
  <c r="B7" i="57"/>
  <c r="B8" s="1"/>
  <c r="B9" s="1"/>
  <c r="B10" s="1"/>
  <c r="M7" i="104" l="1"/>
  <c r="O7" i="58"/>
  <c r="O10" i="66"/>
  <c r="L11" i="58"/>
  <c r="M11" s="1"/>
  <c r="N11" i="105"/>
  <c r="N7"/>
  <c r="M17"/>
  <c r="B11" i="57"/>
  <c r="B12" s="1"/>
  <c r="B13" s="1"/>
  <c r="B8" i="66"/>
  <c r="B9" s="1"/>
  <c r="B10" s="1"/>
  <c r="B25" i="67"/>
  <c r="B26" s="1"/>
  <c r="B27" s="1"/>
  <c r="B28" s="1"/>
  <c r="G27" i="58" l="1"/>
  <c r="P7"/>
  <c r="G25"/>
  <c r="N7" i="104"/>
  <c r="N17" i="105"/>
  <c r="M19"/>
  <c r="E24" i="58"/>
  <c r="B14" i="57"/>
  <c r="B15" s="1"/>
  <c r="B16" s="1"/>
  <c r="B17" s="1"/>
  <c r="B18" s="1"/>
  <c r="N19" i="105" l="1"/>
  <c r="O11" i="58"/>
  <c r="B19" i="57"/>
  <c r="B20" s="1"/>
  <c r="B21" s="1"/>
  <c r="B22" s="1"/>
  <c r="H19" i="69"/>
  <c r="P11" i="58" l="1"/>
  <c r="G24"/>
  <c r="L22" i="69"/>
  <c r="L28"/>
  <c r="L23"/>
  <c r="L24"/>
  <c r="L25"/>
  <c r="L26"/>
  <c r="F13" s="1"/>
  <c r="L27"/>
  <c r="L21"/>
  <c r="F8" s="1"/>
  <c r="F14" l="1"/>
  <c r="F15"/>
  <c r="L29"/>
  <c r="F7" l="1"/>
  <c r="F16" s="1"/>
  <c r="G19"/>
  <c r="K9" i="66"/>
  <c r="K10" l="1"/>
  <c r="L9"/>
  <c r="J9"/>
  <c r="J10" s="1"/>
  <c r="I7" i="104" s="1"/>
  <c r="L7" i="58" l="1"/>
  <c r="E27" s="1"/>
  <c r="J7" i="104"/>
  <c r="K7" s="1"/>
  <c r="L10" i="66"/>
  <c r="K7" i="58"/>
  <c r="M7" l="1"/>
  <c r="E25"/>
  <c r="I13" i="103"/>
  <c r="I14" s="1"/>
  <c r="M23" i="102"/>
  <c r="K8" i="58" l="1"/>
  <c r="J36" i="102"/>
  <c r="O23"/>
  <c r="O24" s="1"/>
  <c r="M24"/>
  <c r="L8" i="58" l="1"/>
  <c r="M8" s="1"/>
  <c r="J13" i="103"/>
  <c r="M36" i="102"/>
  <c r="N36"/>
  <c r="N37" s="1"/>
  <c r="J37"/>
  <c r="K13" i="103" l="1"/>
  <c r="M9"/>
  <c r="M10" s="1"/>
  <c r="E22" i="58"/>
  <c r="J14" i="103"/>
  <c r="K14" s="1"/>
  <c r="I16"/>
  <c r="O36" i="102"/>
  <c r="O37" s="1"/>
  <c r="M37"/>
  <c r="N9" i="103" l="1"/>
  <c r="N10"/>
  <c r="M14"/>
  <c r="N14" s="1"/>
  <c r="J16"/>
  <c r="K16" s="1"/>
  <c r="I18"/>
  <c r="M16" l="1"/>
  <c r="N16" s="1"/>
  <c r="J18"/>
  <c r="K18" s="1"/>
  <c r="I20"/>
  <c r="M18" l="1"/>
  <c r="N18" s="1"/>
  <c r="J20"/>
  <c r="K20" s="1"/>
  <c r="K9" i="58"/>
  <c r="M20" i="103" l="1"/>
  <c r="O9" i="58" s="1"/>
  <c r="L9"/>
  <c r="E23" s="1"/>
  <c r="E28" l="1"/>
  <c r="E32" s="1"/>
  <c r="E33" s="1"/>
  <c r="N20" i="103"/>
  <c r="P9" i="58"/>
  <c r="G23"/>
  <c r="G28" s="1"/>
  <c r="M9"/>
  <c r="G32" l="1"/>
  <c r="G33" s="1"/>
  <c r="M8" i="104" s="1"/>
  <c r="J8"/>
  <c r="J9" l="1"/>
  <c r="K8"/>
  <c r="I8"/>
  <c r="I9" s="1"/>
  <c r="I11" s="1"/>
  <c r="M9"/>
  <c r="N8"/>
  <c r="K9" l="1"/>
  <c r="J11"/>
  <c r="M11"/>
  <c r="N9"/>
  <c r="K11" l="1"/>
  <c r="L10" i="58"/>
  <c r="L17" s="1"/>
  <c r="O10"/>
  <c r="O17" s="1"/>
  <c r="G35" s="1"/>
  <c r="G36" s="1"/>
  <c r="G37" s="1"/>
  <c r="N11" i="104"/>
  <c r="K10" i="58" l="1"/>
  <c r="K17" s="1"/>
  <c r="M10"/>
  <c r="P10"/>
  <c r="E35" l="1"/>
  <c r="E36" s="1"/>
  <c r="E37" s="1"/>
  <c r="L19"/>
  <c r="M17"/>
  <c r="O19"/>
  <c r="P17"/>
</calcChain>
</file>

<file path=xl/sharedStrings.xml><?xml version="1.0" encoding="utf-8"?>
<sst xmlns="http://schemas.openxmlformats.org/spreadsheetml/2006/main" count="817" uniqueCount="350">
  <si>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</si>
  <si>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</si>
  <si>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</si>
  <si>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</si>
  <si>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</si>
  <si>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</si>
  <si>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</si>
  <si>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</si>
  <si>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</si>
  <si>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</si>
  <si>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</si>
  <si>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</si>
  <si>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</si>
  <si>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</si>
  <si>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</si>
  <si>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</si>
  <si>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</si>
  <si>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</si>
  <si>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</si>
  <si>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</si>
  <si>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</si>
  <si>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</si>
  <si>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Form 3.1</t>
  </si>
  <si>
    <t>Form 3.2</t>
  </si>
  <si>
    <t>Form 5</t>
  </si>
  <si>
    <t>Form 6</t>
  </si>
  <si>
    <t>Form 7</t>
  </si>
  <si>
    <t>Form 8</t>
  </si>
  <si>
    <t>Form 9</t>
  </si>
  <si>
    <t>Operation &amp; Maintenance Expenses</t>
  </si>
  <si>
    <t>Interest on Working Capital</t>
  </si>
  <si>
    <t>Aggregate Revenue Requirement</t>
  </si>
  <si>
    <t>Units</t>
  </si>
  <si>
    <t>Receivables</t>
  </si>
  <si>
    <t>Total Working Capital requirement</t>
  </si>
  <si>
    <t>A.</t>
  </si>
  <si>
    <t>B.</t>
  </si>
  <si>
    <t>A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</si>
  <si>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</si>
  <si>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</si>
  <si>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</si>
  <si>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</si>
  <si>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</si>
  <si>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</si>
  <si>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</si>
  <si>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</si>
  <si>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</si>
  <si>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</si>
  <si>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</si>
  <si>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</si>
  <si>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</si>
  <si>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</si>
  <si>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</si>
  <si>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</si>
  <si>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</si>
  <si>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</si>
  <si>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</si>
  <si>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</si>
  <si>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</si>
  <si>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</si>
  <si>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</si>
  <si>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</si>
  <si>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</si>
  <si>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</si>
  <si>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</si>
  <si>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</si>
  <si>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</si>
  <si>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</si>
  <si>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</si>
  <si>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</si>
  <si>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</si>
  <si>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</si>
  <si>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</si>
  <si>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</si>
  <si>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</si>
  <si>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</si>
  <si>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</si>
  <si>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</si>
  <si>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</si>
  <si>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</si>
  <si>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</si>
  <si>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</si>
  <si>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</si>
  <si>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</si>
  <si>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</si>
  <si>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</si>
  <si>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</si>
  <si>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</si>
  <si>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</si>
  <si>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</si>
  <si>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</si>
  <si>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</si>
  <si>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</si>
  <si>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</si>
  <si>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</si>
  <si>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</si>
  <si>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</si>
  <si>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</si>
  <si>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</si>
  <si>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</si>
  <si>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</si>
  <si>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</si>
  <si>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</si>
  <si>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</si>
  <si>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</si>
  <si>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</si>
  <si>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</si>
  <si>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</si>
  <si>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Deviation</t>
  </si>
  <si>
    <t>Controllable</t>
  </si>
  <si>
    <t>Uncontrollable</t>
  </si>
  <si>
    <t>Non-Tariff Income</t>
  </si>
  <si>
    <t xml:space="preserve">Depreciation </t>
  </si>
  <si>
    <t>Addition of Loan during the year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</si>
  <si>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</si>
  <si>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</si>
  <si>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</si>
  <si>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</si>
  <si>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</si>
  <si>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</si>
  <si>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</si>
  <si>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</si>
  <si>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</si>
  <si>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Reasons for Deviation</t>
  </si>
  <si>
    <t>Financing of Additional Capitalisation</t>
  </si>
  <si>
    <t>Loan 1</t>
  </si>
  <si>
    <t>S. No.</t>
  </si>
  <si>
    <t>Rs. Crore</t>
  </si>
  <si>
    <t>R &amp; M Expenses</t>
  </si>
  <si>
    <t>Addition of Normative Loan due to capitalisation during the year</t>
  </si>
  <si>
    <t>Weighted average Rate of Interest on actual Loans (%)</t>
  </si>
  <si>
    <t>Average Balance of Net Normative Loan</t>
  </si>
  <si>
    <t>Average Loan Balance</t>
  </si>
  <si>
    <t>Summary of Capital Expenditure and Capitalisation</t>
  </si>
  <si>
    <t>Net Entitlement after sharing of gains/(losses)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</si>
  <si>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</si>
  <si>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</si>
  <si>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</si>
  <si>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</si>
  <si>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Apr-Sep</t>
  </si>
  <si>
    <t xml:space="preserve">Oct-Mar        </t>
  </si>
  <si>
    <t>Interest and finance charges on loan</t>
  </si>
  <si>
    <t>Return on Equity</t>
  </si>
  <si>
    <t>Apr - Mar</t>
  </si>
  <si>
    <t>A&amp;G Expenses</t>
  </si>
  <si>
    <t>Unfunded past liabilities of pension and
gratuity</t>
  </si>
  <si>
    <t>Opening Capital Works in Progress</t>
  </si>
  <si>
    <t>Closing Capital Works in Progress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</si>
  <si>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</si>
  <si>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</si>
  <si>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</si>
  <si>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</si>
  <si>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</si>
  <si>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</si>
  <si>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</si>
  <si>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</si>
  <si>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</si>
  <si>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</si>
  <si>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</si>
  <si>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</si>
  <si>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</si>
  <si>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</si>
  <si>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2.1: Employee Expenses</t>
  </si>
  <si>
    <t>Form 2.2: Administration &amp; General Expenses</t>
  </si>
  <si>
    <t>Form 2.3: Repair &amp; Maintenance Expenses</t>
  </si>
  <si>
    <t>Form 3:  Summary of Capital Expenditure and Capitalisation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</si>
  <si>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</si>
  <si>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</si>
  <si>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</si>
  <si>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</si>
  <si>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</si>
  <si>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</si>
  <si>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</si>
  <si>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</si>
  <si>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Form 6:  Interest on working capital</t>
  </si>
  <si>
    <t>O&amp;M expenses</t>
  </si>
  <si>
    <t>Less:</t>
  </si>
  <si>
    <t>Interest rate</t>
  </si>
  <si>
    <t>Interest on working capital</t>
  </si>
  <si>
    <t>Form 7:  Return on Equity</t>
  </si>
  <si>
    <t>Rate of Return on Equity</t>
  </si>
  <si>
    <t>Base rate of Return on Equity</t>
  </si>
  <si>
    <t>Effective Income Tax rate</t>
  </si>
  <si>
    <t>Form 8:  Non-Tariff Income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</si>
  <si>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</si>
  <si>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</si>
  <si>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</si>
  <si>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</si>
  <si>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</si>
  <si>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</si>
  <si>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</si>
  <si>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Expenses side summary</t>
  </si>
  <si>
    <t>Revenue for true-up</t>
  </si>
  <si>
    <t>Revenue Gap/(Surplus)</t>
  </si>
  <si>
    <t>Revenue side summary</t>
  </si>
  <si>
    <t>Normative claimed in true-up</t>
  </si>
  <si>
    <t>MYT/Tariff Order</t>
  </si>
  <si>
    <t>Form</t>
  </si>
  <si>
    <t>Checklist</t>
  </si>
  <si>
    <t>Tick</t>
  </si>
  <si>
    <t>Form 1:  Summary Sheet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</si>
  <si>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</si>
  <si>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</si>
  <si>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</si>
  <si>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</si>
  <si>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</si>
  <si>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</si>
  <si>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</si>
  <si>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</si>
  <si>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Summary of true-up</t>
  </si>
  <si>
    <t>Income from Open Access Charges</t>
  </si>
  <si>
    <t>Add:</t>
  </si>
  <si>
    <t>Impact of true-up for prior period</t>
  </si>
  <si>
    <t>Contracted Capacity</t>
  </si>
  <si>
    <t xml:space="preserve">Less: </t>
  </si>
  <si>
    <t>Revenue from Transmission Charges</t>
  </si>
  <si>
    <t>MW</t>
  </si>
  <si>
    <t xml:space="preserve"> Tariff Filing Formats - SLDC</t>
  </si>
  <si>
    <t>SLDC</t>
  </si>
  <si>
    <t>Rs./MW/month</t>
  </si>
  <si>
    <t>Income from sale of tender documents</t>
  </si>
  <si>
    <t>Generation Capacity</t>
  </si>
  <si>
    <t>Form 10: Revenue from SLDC Charges</t>
  </si>
  <si>
    <t>Form 11: Summary of true-up</t>
  </si>
  <si>
    <t>Revenue from SLDC Charges</t>
  </si>
  <si>
    <t>Form 11</t>
  </si>
  <si>
    <t>Form 12</t>
  </si>
  <si>
    <t>SLDC Charges</t>
  </si>
  <si>
    <t>Appendix 3: Tariff Filing Forms (SLDC)</t>
  </si>
  <si>
    <t>FY 2023-24</t>
  </si>
  <si>
    <t>FY 2024-2025</t>
  </si>
  <si>
    <t>FY 2025-2026</t>
  </si>
  <si>
    <t xml:space="preserve">FY 2023-24       </t>
  </si>
  <si>
    <t>(Actuals)</t>
  </si>
  <si>
    <t xml:space="preserve">Vehicle Hiring Expense </t>
  </si>
  <si>
    <t>BUILDING</t>
  </si>
  <si>
    <t>CIVIL WORKS</t>
  </si>
  <si>
    <t>PLANT AND MACHINE</t>
  </si>
  <si>
    <t>FURNITURE &amp; FIXTU</t>
  </si>
  <si>
    <t>INTANGIBLE ASSETS</t>
  </si>
  <si>
    <t>OFFICE EQUIPMENT</t>
  </si>
  <si>
    <t>IT EQUIPMENT</t>
  </si>
  <si>
    <t>COMMUNICATION EQUIPMENT</t>
  </si>
  <si>
    <t>-</t>
  </si>
  <si>
    <t>IT Equipment</t>
  </si>
  <si>
    <t>Buidlings</t>
  </si>
  <si>
    <t>other civil works</t>
  </si>
  <si>
    <t>p&amp;m</t>
  </si>
  <si>
    <t>it eq</t>
  </si>
  <si>
    <t>comm eq</t>
  </si>
  <si>
    <t>f&amp;f</t>
  </si>
  <si>
    <t>intang</t>
  </si>
  <si>
    <t>off eq</t>
  </si>
  <si>
    <t>FY 2024-25</t>
  </si>
  <si>
    <t>FY 2025-26</t>
  </si>
  <si>
    <t>2023-24</t>
  </si>
  <si>
    <t>2024-25</t>
  </si>
  <si>
    <t>2025-26</t>
  </si>
  <si>
    <t>Depreciation</t>
  </si>
  <si>
    <t>Interest on Loan</t>
  </si>
  <si>
    <t>O &amp; M Expenses</t>
  </si>
  <si>
    <t>a.on O&amp;M - 1 Month</t>
  </si>
  <si>
    <t>Total Receivable exl. Int of receivable for 45 Days</t>
  </si>
  <si>
    <t>Less: NTI and Open Acess</t>
  </si>
  <si>
    <t>Int on Receivable for 45 days</t>
  </si>
  <si>
    <t>Receivable for 45 days</t>
  </si>
  <si>
    <t>45 Days</t>
  </si>
  <si>
    <t>Check</t>
  </si>
  <si>
    <t>Income from SLDC Processing Fee,Registration Fee and Surcharge</t>
  </si>
  <si>
    <t>Previous year 2023-24</t>
  </si>
  <si>
    <t>Rs. In Crore</t>
  </si>
  <si>
    <t>Sl. No.</t>
  </si>
  <si>
    <t>Annual                                          Fee</t>
  </si>
  <si>
    <t>Generation Capacity M.W.</t>
  </si>
  <si>
    <t>Full year revenue                                                            (12 Months)</t>
  </si>
  <si>
    <t>Operating Charges</t>
  </si>
  <si>
    <t>SLDC Chrages</t>
  </si>
  <si>
    <t>Annual Fee</t>
  </si>
  <si>
    <t>TGSPDCL</t>
  </si>
  <si>
    <t>TGNPDCL</t>
  </si>
  <si>
    <t>INTRA ST SLDC CHRGS OTRS/LTOA/MTOA/STOA</t>
  </si>
  <si>
    <t>ARHYAMA SOLAR POWER PVT LTD</t>
  </si>
  <si>
    <t>AXIS CLINICALS PVT LTD</t>
  </si>
  <si>
    <t>BAMBINO PASTA FOOD INDUSTRIES</t>
  </si>
  <si>
    <t>BBR GREEN FIELDS PVT LTD</t>
  </si>
  <si>
    <t>BHAGYANAGAR INDIA LTD</t>
  </si>
  <si>
    <t>BHARAT DYNAMICS LIMITED</t>
  </si>
  <si>
    <t>BHAVANA POWER</t>
  </si>
  <si>
    <t>BHEL (RAMACHANDRAPURAM)</t>
  </si>
  <si>
    <t>BRAVO ENERGIES PVT LTD</t>
  </si>
  <si>
    <t>BVM ENERGY &amp; RESIDENCY (P) LTD</t>
  </si>
  <si>
    <t>COSMIC POWER SOLUTIONS PVT LTD</t>
  </si>
  <si>
    <t>DRES ENERGY PVT LTD</t>
  </si>
  <si>
    <t>DUBBAK SOLAR PROJECTS PVT. LTD</t>
  </si>
  <si>
    <t>ENERSOL INFRA PVT LTD</t>
  </si>
  <si>
    <t>FUSION SOLAR FARMS PVT LTD</t>
  </si>
  <si>
    <t>HALO ENERGIE PRIVATE LIMITED</t>
  </si>
  <si>
    <t>GOLDEN</t>
  </si>
  <si>
    <t>HERITAGE FOODS LIMITED</t>
  </si>
  <si>
    <t>HYDERABAD CHEMICAL PRODUCTS</t>
  </si>
  <si>
    <t>HYDERABAD INSTITUTE OF ONCOLOGY PVT</t>
  </si>
  <si>
    <t>INDO NATIONAL LTD</t>
  </si>
  <si>
    <t>INFOSYS LTD</t>
  </si>
  <si>
    <t>JAYA BHARAT</t>
  </si>
  <si>
    <t>MEDAK SOLAR PROJECTS PVT. LTD.</t>
  </si>
  <si>
    <t>KAKATHIYA</t>
  </si>
  <si>
    <t>MISHRA DHATU NIGAM LTD</t>
  </si>
  <si>
    <t>NATEMS POWER PVT LTD</t>
  </si>
  <si>
    <t>NVNR (RAMANNAPET I) PVT. LTD.</t>
  </si>
  <si>
    <t>NVNR (RAMANNAPET II) SOLAR POWER</t>
  </si>
  <si>
    <t>PENNAR</t>
  </si>
  <si>
    <t>PRAGATHI GROUP</t>
  </si>
  <si>
    <t>PRERITUS CORPORATION PVT LTD</t>
  </si>
  <si>
    <t>REPAL GREEN POWER PVT. LTD.</t>
  </si>
  <si>
    <t>RMR SOLAR ENERGY PVT LTD</t>
  </si>
  <si>
    <t>ROCKHOPPER RENEWABLES INDIA PVT LTD</t>
  </si>
  <si>
    <t>SAI ADITHYA GREEN ENERGY PVT LTD</t>
  </si>
  <si>
    <t>SAI DEEPA ROCK DRILLS PVT LTD</t>
  </si>
  <si>
    <t>SARVOTHAM CARE</t>
  </si>
  <si>
    <t>SEI SRIRAM POWER PVT. LTD.</t>
  </si>
  <si>
    <t>SNEHA RENEWABLE ENERGIES LTD</t>
  </si>
  <si>
    <t>SOLNOVA POWER PVT LTD</t>
  </si>
  <si>
    <t>SRI LAKSHMI GANAPATHY INDUSTRIES</t>
  </si>
  <si>
    <t>SRI SURYANARAYANA SWAMY SOLAR POWER</t>
  </si>
  <si>
    <t>Sri. G.Prashanth Narayan</t>
  </si>
  <si>
    <t>SRINIVASA GREEN ENERGIES PVT LTD</t>
  </si>
  <si>
    <t>SURANA SOLAR SYSTEMS PVT LTD</t>
  </si>
  <si>
    <t>SURYANANDAN TEXTURIZERS PVT. LTD.</t>
  </si>
  <si>
    <t>THE REGISTRAR, JNTUH</t>
  </si>
  <si>
    <t>THE SINGARENI COLLERIES COMPANY LTD</t>
  </si>
  <si>
    <t>TROPICAL FLAVOURS PVT LTD</t>
  </si>
  <si>
    <t>USHODAYA ENTERPRISES PVT LTD</t>
  </si>
  <si>
    <t>VALENS</t>
  </si>
  <si>
    <t>VALUELABS LLP</t>
  </si>
  <si>
    <t>VARP POWER PVT. LTD.</t>
  </si>
  <si>
    <t>VISAKA INDUSTRIES LTD</t>
  </si>
  <si>
    <t>INTER ST SLDC CHRGS IEX/PXIL/RLDC</t>
  </si>
  <si>
    <t>INTER ST SLDC CHRGS INTER REGIONAL</t>
  </si>
  <si>
    <t>GRAND TOTAL</t>
  </si>
  <si>
    <t>(Previous Year 2023-24)</t>
  </si>
  <si>
    <t>Form 10</t>
  </si>
  <si>
    <t>Variation</t>
  </si>
  <si>
    <t>4th MYT Order</t>
  </si>
  <si>
    <t>5th MYT Order</t>
  </si>
  <si>
    <t xml:space="preserve">Note: CPI inflation has been arrived at 5.20 based on average inflation of FY 2023-24 as per Labour Bureau. 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</si>
  <si>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R&amp;M expenses for Base Year 2024-25 has been arrived taking 5% as K factor being average of R&amp;M Expenses as % of GFA at beginning of year for  F.Y.2023-24 and F.Y. 2024-25. Further, the 7.4% WPI has been by averaging inflation rates of FY 2019-20 to FY 2023-24.</t>
    </r>
  </si>
  <si>
    <t>Note: Effective Tax rate considered by taking payment of income tax under MAT u/s 115JB of Income Tax Act 1961.</t>
  </si>
  <si>
    <t>s</t>
  </si>
  <si>
    <t xml:space="preserve"> Note : 1.Depreciation for Plant and Machinery has been adopted by dividing the balance value by remaining life of the asset( 5 years) in straightline  method
             </t>
  </si>
  <si>
    <r>
      <rPr>
        <b/>
        <sz val="10"/>
        <rFont val="Arial"/>
        <family val="2"/>
      </rPr>
      <t>Note</t>
    </r>
    <r>
      <rPr>
        <sz val="10"/>
        <rFont val="Arial"/>
        <family val="2"/>
      </rPr>
      <t>: A&amp;G expenses for Base Year 2024-25 has been arrived by taking the WPI as 7.4% by averaging inflation rates of FY 2019-20 to FY 2023-24.</t>
    </r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</si>
</sst>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%"/>
    <numFmt numFmtId="169" formatCode="_ * #,##0_ ;_ * \-#,##0_ ;_ * &quot;-&quot;??_ ;_ @_ 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  <font>
      <sz val="10"/>
      <color theme="1"/>
      <name val="Book Antiqua"/>
      <family val="1"/>
    </font>
    <font>
      <sz val="12"/>
      <color theme="1"/>
      <name val="Book Antiqua"/>
      <family val="1"/>
    </font>
    <font>
      <sz val="14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504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0" borderId="0" xfId="10" applyFont="1"/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21" fillId="0" borderId="0" xfId="10" applyFont="1" applyAlignment="1">
      <alignment horizontal="lef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16" fillId="0" borderId="4" xfId="10" applyFont="1" applyBorder="1" applyAlignment="1">
      <alignment horizontal="right" vertical="center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13" fillId="0" borderId="0" xfId="14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0" fontId="16" fillId="0" borderId="0" xfId="10" applyFont="1" applyAlignment="1">
      <alignment vertical="top"/>
    </xf>
    <xf numFmtId="0" fontId="21" fillId="0" borderId="4" xfId="14" applyFont="1" applyBorder="1" applyAlignment="1">
      <alignment horizontal="center" vertical="top" wrapText="1"/>
    </xf>
    <xf numFmtId="0" fontId="16" fillId="0" borderId="4" xfId="14" applyFont="1" applyBorder="1" applyAlignment="1">
      <alignment horizontal="center" vertical="top" wrapText="1"/>
    </xf>
    <xf numFmtId="0" fontId="21" fillId="0" borderId="0" xfId="10" applyFont="1" applyAlignment="1">
      <alignment vertical="center" wrapText="1"/>
    </xf>
    <xf numFmtId="0" fontId="16" fillId="0" borderId="0" xfId="10" applyFont="1" applyAlignment="1">
      <alignment vertical="center" wrapText="1"/>
    </xf>
    <xf numFmtId="0" fontId="2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3" fillId="0" borderId="0" xfId="10" applyFont="1" applyAlignment="1">
      <alignment horizontal="center" vertical="center" wrapText="1"/>
    </xf>
    <xf numFmtId="0" fontId="13" fillId="0" borderId="0" xfId="10" applyFont="1" applyAlignment="1">
      <alignment vertical="center" wrapText="1"/>
    </xf>
    <xf numFmtId="0" fontId="8" fillId="0" borderId="0" xfId="10" applyFont="1" applyAlignment="1">
      <alignment vertical="center" wrapText="1"/>
    </xf>
    <xf numFmtId="43" fontId="16" fillId="0" borderId="4" xfId="71" applyFont="1" applyBorder="1" applyAlignment="1">
      <alignment vertical="center"/>
    </xf>
    <xf numFmtId="10" fontId="16" fillId="0" borderId="4" xfId="39" applyNumberFormat="1" applyFont="1" applyFill="1" applyBorder="1" applyAlignment="1">
      <alignment horizontal="right" vertical="center"/>
    </xf>
    <xf numFmtId="2" fontId="16" fillId="0" borderId="0" xfId="14" applyNumberFormat="1" applyFont="1">
      <alignment vertical="center"/>
    </xf>
    <xf numFmtId="0" fontId="21" fillId="0" borderId="4" xfId="14" applyFont="1" applyBorder="1" applyAlignment="1">
      <alignment horizontal="center" vertical="center" wrapText="1"/>
    </xf>
    <xf numFmtId="9" fontId="16" fillId="0" borderId="0" xfId="72" applyFont="1" applyAlignment="1">
      <alignment vertical="center"/>
    </xf>
    <xf numFmtId="0" fontId="16" fillId="0" borderId="0" xfId="14" applyFont="1" applyFill="1">
      <alignment vertical="center"/>
    </xf>
    <xf numFmtId="43" fontId="16" fillId="0" borderId="0" xfId="14" applyNumberFormat="1" applyFont="1">
      <alignment vertical="center"/>
    </xf>
    <xf numFmtId="43" fontId="16" fillId="0" borderId="0" xfId="71" applyFont="1" applyAlignment="1">
      <alignment vertical="center"/>
    </xf>
    <xf numFmtId="43" fontId="21" fillId="0" borderId="0" xfId="71" applyFont="1" applyAlignment="1">
      <alignment vertical="center"/>
    </xf>
    <xf numFmtId="43" fontId="16" fillId="5" borderId="0" xfId="71" applyFont="1" applyFill="1" applyAlignment="1">
      <alignment vertical="center"/>
    </xf>
    <xf numFmtId="0" fontId="29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/>
    <xf numFmtId="0" fontId="29" fillId="0" borderId="4" xfId="0" applyFont="1" applyFill="1" applyBorder="1"/>
    <xf numFmtId="0" fontId="30" fillId="0" borderId="4" xfId="0" applyFont="1" applyFill="1" applyBorder="1" applyAlignment="1">
      <alignment wrapText="1"/>
    </xf>
    <xf numFmtId="0" fontId="31" fillId="0" borderId="28" xfId="0" applyFont="1" applyFill="1" applyBorder="1"/>
    <xf numFmtId="0" fontId="31" fillId="0" borderId="29" xfId="0" applyFont="1" applyFill="1" applyBorder="1"/>
    <xf numFmtId="0" fontId="31" fillId="0" borderId="30" xfId="0" applyFont="1" applyFill="1" applyBorder="1"/>
    <xf numFmtId="0" fontId="0" fillId="0" borderId="0" xfId="0" applyFill="1" applyAlignment="1">
      <alignment vertical="top"/>
    </xf>
    <xf numFmtId="0" fontId="26" fillId="0" borderId="4" xfId="0" applyFont="1" applyFill="1" applyBorder="1" applyAlignment="1">
      <alignment vertical="center"/>
    </xf>
    <xf numFmtId="0" fontId="26" fillId="0" borderId="4" xfId="0" applyFont="1" applyFill="1" applyBorder="1" applyAlignment="1">
      <alignment horizontal="center" vertical="center" wrapText="1"/>
    </xf>
    <xf numFmtId="43" fontId="26" fillId="0" borderId="4" xfId="7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top"/>
    </xf>
    <xf numFmtId="0" fontId="26" fillId="0" borderId="4" xfId="0" applyFont="1" applyFill="1" applyBorder="1" applyAlignment="1">
      <alignment horizontal="center" vertical="center"/>
    </xf>
    <xf numFmtId="43" fontId="0" fillId="0" borderId="4" xfId="71" applyFont="1" applyFill="1" applyBorder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/>
    </xf>
    <xf numFmtId="0" fontId="0" fillId="0" borderId="4" xfId="0" applyFill="1" applyBorder="1" applyAlignment="1">
      <alignment horizontal="left" vertical="top"/>
    </xf>
    <xf numFmtId="0" fontId="16" fillId="0" borderId="4" xfId="14" applyFont="1" applyFill="1" applyBorder="1" applyAlignment="1">
      <alignment horizontal="center" vertical="center"/>
    </xf>
    <xf numFmtId="43" fontId="0" fillId="0" borderId="4" xfId="0" applyNumberFormat="1" applyFill="1" applyBorder="1" applyAlignment="1">
      <alignment vertical="top"/>
    </xf>
    <xf numFmtId="0" fontId="9" fillId="0" borderId="0" xfId="10" applyFill="1" applyAlignment="1">
      <alignment horizontal="left" vertical="top"/>
    </xf>
    <xf numFmtId="169" fontId="9" fillId="0" borderId="0" xfId="71" applyNumberFormat="1" applyFont="1" applyFill="1" applyAlignment="1">
      <alignment vertical="top"/>
    </xf>
    <xf numFmtId="0" fontId="26" fillId="0" borderId="4" xfId="0" applyFont="1" applyFill="1" applyBorder="1" applyAlignment="1">
      <alignment horizontal="left" vertical="top"/>
    </xf>
    <xf numFmtId="43" fontId="0" fillId="0" borderId="4" xfId="71" applyFont="1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0" fontId="0" fillId="4" borderId="4" xfId="0" applyFill="1" applyBorder="1" applyAlignment="1">
      <alignment horizontal="left" vertical="top"/>
    </xf>
    <xf numFmtId="0" fontId="16" fillId="0" borderId="4" xfId="10" applyFont="1" applyFill="1" applyBorder="1" applyAlignment="1">
      <alignment horizontal="center" vertical="center" wrapText="1"/>
    </xf>
    <xf numFmtId="1" fontId="16" fillId="0" borderId="4" xfId="14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26" fillId="0" borderId="4" xfId="0" applyFont="1" applyFill="1" applyBorder="1" applyAlignment="1">
      <alignment horizontal="center" vertical="top"/>
    </xf>
    <xf numFmtId="0" fontId="26" fillId="0" borderId="4" xfId="0" applyFont="1" applyFill="1" applyBorder="1" applyAlignment="1">
      <alignment vertical="top"/>
    </xf>
    <xf numFmtId="43" fontId="26" fillId="0" borderId="4" xfId="71" applyFont="1" applyFill="1" applyBorder="1" applyAlignment="1">
      <alignment vertical="top"/>
    </xf>
    <xf numFmtId="43" fontId="0" fillId="0" borderId="0" xfId="71" applyFont="1" applyFill="1" applyAlignment="1">
      <alignment vertical="top"/>
    </xf>
    <xf numFmtId="43" fontId="0" fillId="0" borderId="0" xfId="0" applyNumberFormat="1" applyFill="1" applyAlignment="1">
      <alignment vertical="top"/>
    </xf>
    <xf numFmtId="2" fontId="8" fillId="0" borderId="4" xfId="14" applyNumberFormat="1" applyFont="1" applyBorder="1">
      <alignment vertical="center"/>
    </xf>
    <xf numFmtId="43" fontId="13" fillId="0" borderId="4" xfId="14" applyNumberFormat="1" applyFont="1" applyBorder="1">
      <alignment vertical="center"/>
    </xf>
    <xf numFmtId="0" fontId="13" fillId="0" borderId="4" xfId="14" applyFont="1" applyBorder="1">
      <alignment vertical="center"/>
    </xf>
    <xf numFmtId="2" fontId="13" fillId="0" borderId="4" xfId="14" applyNumberFormat="1" applyFont="1" applyBorder="1">
      <alignment vertical="center"/>
    </xf>
    <xf numFmtId="2" fontId="8" fillId="0" borderId="4" xfId="10" applyNumberFormat="1" applyFont="1" applyBorder="1" applyAlignment="1">
      <alignment horizontal="right" vertical="center"/>
    </xf>
    <xf numFmtId="10" fontId="8" fillId="0" borderId="4" xfId="72" applyNumberFormat="1" applyFont="1" applyBorder="1" applyAlignment="1">
      <alignment horizontal="right" vertical="center"/>
    </xf>
    <xf numFmtId="43" fontId="8" fillId="0" borderId="4" xfId="10" applyNumberFormat="1" applyFont="1" applyBorder="1" applyAlignment="1">
      <alignment horizontal="right" vertical="center"/>
    </xf>
    <xf numFmtId="10" fontId="8" fillId="0" borderId="4" xfId="10" applyNumberFormat="1" applyFont="1" applyBorder="1" applyAlignment="1">
      <alignment horizontal="right" vertical="center"/>
    </xf>
    <xf numFmtId="2" fontId="13" fillId="0" borderId="4" xfId="10" applyNumberFormat="1" applyFont="1" applyBorder="1" applyAlignment="1">
      <alignment horizontal="right" vertical="center"/>
    </xf>
    <xf numFmtId="43" fontId="8" fillId="0" borderId="4" xfId="71" applyNumberFormat="1" applyFont="1" applyBorder="1" applyAlignment="1">
      <alignment horizontal="right" vertical="center"/>
    </xf>
    <xf numFmtId="43" fontId="8" fillId="0" borderId="4" xfId="71" applyFont="1" applyBorder="1" applyAlignment="1">
      <alignment horizontal="right" vertical="center"/>
    </xf>
    <xf numFmtId="43" fontId="8" fillId="0" borderId="4" xfId="71" applyFont="1" applyBorder="1" applyAlignment="1">
      <alignment vertical="center"/>
    </xf>
    <xf numFmtId="43" fontId="13" fillId="0" borderId="4" xfId="71" applyFont="1" applyBorder="1" applyAlignment="1">
      <alignment vertical="center"/>
    </xf>
    <xf numFmtId="43" fontId="13" fillId="0" borderId="4" xfId="71" applyFont="1" applyBorder="1" applyAlignment="1">
      <alignment horizontal="right" vertical="center"/>
    </xf>
    <xf numFmtId="10" fontId="8" fillId="0" borderId="4" xfId="72" applyNumberFormat="1" applyFont="1" applyBorder="1" applyAlignment="1">
      <alignment vertical="center"/>
    </xf>
    <xf numFmtId="9" fontId="8" fillId="0" borderId="4" xfId="72" applyFont="1" applyBorder="1" applyAlignment="1">
      <alignment vertical="center"/>
    </xf>
    <xf numFmtId="43" fontId="8" fillId="0" borderId="4" xfId="71" applyFont="1" applyFill="1" applyBorder="1" applyAlignment="1">
      <alignment horizontal="right" vertical="center"/>
    </xf>
    <xf numFmtId="2" fontId="32" fillId="0" borderId="4" xfId="0" applyNumberFormat="1" applyFont="1" applyFill="1" applyBorder="1" applyAlignment="1">
      <alignment horizontal="right"/>
    </xf>
    <xf numFmtId="2" fontId="32" fillId="0" borderId="4" xfId="0" applyNumberFormat="1" applyFont="1" applyFill="1" applyBorder="1"/>
    <xf numFmtId="43" fontId="32" fillId="0" borderId="4" xfId="0" applyNumberFormat="1" applyFont="1" applyFill="1" applyBorder="1" applyAlignment="1">
      <alignment horizontal="right"/>
    </xf>
    <xf numFmtId="43" fontId="32" fillId="0" borderId="4" xfId="0" applyNumberFormat="1" applyFont="1" applyFill="1" applyBorder="1"/>
    <xf numFmtId="0" fontId="32" fillId="0" borderId="4" xfId="0" applyFont="1" applyFill="1" applyBorder="1" applyAlignment="1">
      <alignment horizontal="right"/>
    </xf>
    <xf numFmtId="0" fontId="32" fillId="0" borderId="4" xfId="0" applyFont="1" applyFill="1" applyBorder="1"/>
    <xf numFmtId="43" fontId="32" fillId="0" borderId="4" xfId="24" applyNumberFormat="1" applyFont="1" applyFill="1" applyBorder="1" applyAlignment="1">
      <alignment horizontal="right"/>
    </xf>
    <xf numFmtId="43" fontId="32" fillId="0" borderId="4" xfId="24" applyNumberFormat="1" applyFont="1" applyFill="1" applyBorder="1"/>
    <xf numFmtId="164" fontId="32" fillId="0" borderId="4" xfId="74" applyFont="1" applyFill="1" applyBorder="1" applyAlignment="1">
      <alignment horizontal="right"/>
    </xf>
    <xf numFmtId="164" fontId="32" fillId="0" borderId="4" xfId="74" applyFont="1" applyFill="1" applyBorder="1"/>
    <xf numFmtId="43" fontId="32" fillId="0" borderId="4" xfId="71" applyFont="1" applyFill="1" applyBorder="1" applyAlignment="1">
      <alignment horizontal="right"/>
    </xf>
    <xf numFmtId="43" fontId="32" fillId="0" borderId="4" xfId="71" applyFont="1" applyFill="1" applyBorder="1"/>
    <xf numFmtId="43" fontId="13" fillId="0" borderId="4" xfId="10" applyNumberFormat="1" applyFont="1" applyBorder="1" applyAlignment="1">
      <alignment horizontal="right" vertical="center"/>
    </xf>
    <xf numFmtId="2" fontId="8" fillId="0" borderId="4" xfId="10" applyNumberFormat="1" applyFont="1" applyFill="1" applyBorder="1" applyAlignment="1">
      <alignment horizontal="right" vertical="center"/>
    </xf>
    <xf numFmtId="0" fontId="16" fillId="0" borderId="0" xfId="10" applyFont="1" applyFill="1" applyAlignment="1">
      <alignment vertical="center"/>
    </xf>
    <xf numFmtId="0" fontId="21" fillId="0" borderId="0" xfId="14" applyFont="1" applyFill="1" applyAlignment="1">
      <alignment horizontal="center" vertical="center"/>
    </xf>
    <xf numFmtId="0" fontId="16" fillId="0" borderId="0" xfId="10" applyFont="1" applyFill="1"/>
    <xf numFmtId="0" fontId="21" fillId="0" borderId="0" xfId="10" applyFont="1" applyFill="1" applyAlignment="1">
      <alignment horizontal="center" vertical="center"/>
    </xf>
    <xf numFmtId="0" fontId="21" fillId="0" borderId="0" xfId="14" applyFont="1" applyFill="1" applyAlignment="1">
      <alignment horizontal="right" vertical="center"/>
    </xf>
    <xf numFmtId="0" fontId="21" fillId="0" borderId="4" xfId="14" applyFont="1" applyFill="1" applyBorder="1" applyAlignment="1">
      <alignment horizontal="center" vertical="center" wrapText="1"/>
    </xf>
    <xf numFmtId="0" fontId="16" fillId="0" borderId="4" xfId="10" applyFont="1" applyFill="1" applyBorder="1"/>
    <xf numFmtId="0" fontId="28" fillId="0" borderId="0" xfId="14" applyFont="1" applyFill="1">
      <alignment vertical="center"/>
    </xf>
    <xf numFmtId="0" fontId="16" fillId="0" borderId="4" xfId="14" applyFont="1" applyFill="1" applyBorder="1">
      <alignment vertical="center"/>
    </xf>
    <xf numFmtId="9" fontId="16" fillId="0" borderId="0" xfId="72" applyFont="1" applyFill="1" applyAlignment="1">
      <alignment vertical="center"/>
    </xf>
    <xf numFmtId="17" fontId="16" fillId="0" borderId="0" xfId="14" applyNumberFormat="1" applyFont="1" applyFill="1">
      <alignment vertical="center"/>
    </xf>
    <xf numFmtId="0" fontId="16" fillId="0" borderId="4" xfId="10" applyFont="1" applyFill="1" applyBorder="1" applyAlignment="1">
      <alignment wrapText="1"/>
    </xf>
    <xf numFmtId="0" fontId="21" fillId="0" borderId="4" xfId="14" applyFont="1" applyFill="1" applyBorder="1" applyAlignment="1">
      <alignment horizontal="center" vertical="center"/>
    </xf>
    <xf numFmtId="0" fontId="21" fillId="0" borderId="4" xfId="10" applyFont="1" applyFill="1" applyBorder="1"/>
    <xf numFmtId="43" fontId="13" fillId="0" borderId="4" xfId="71" applyFont="1" applyFill="1" applyBorder="1" applyAlignment="1">
      <alignment horizontal="right" vertical="center"/>
    </xf>
    <xf numFmtId="0" fontId="21" fillId="0" borderId="4" xfId="14" applyFont="1" applyFill="1" applyBorder="1">
      <alignment vertical="center"/>
    </xf>
    <xf numFmtId="0" fontId="21" fillId="0" borderId="0" xfId="10" applyFont="1" applyFill="1" applyAlignment="1">
      <alignment horizontal="justify" vertical="top" wrapText="1"/>
    </xf>
    <xf numFmtId="2" fontId="16" fillId="0" borderId="0" xfId="14" applyNumberFormat="1" applyFont="1" applyFill="1">
      <alignment vertical="center"/>
    </xf>
    <xf numFmtId="0" fontId="16" fillId="0" borderId="0" xfId="10" applyFont="1" applyFill="1" applyAlignment="1">
      <alignment horizontal="left"/>
    </xf>
    <xf numFmtId="0" fontId="8" fillId="0" borderId="4" xfId="14" applyFont="1" applyFill="1" applyBorder="1" applyAlignment="1">
      <alignment horizontal="center" vertical="center"/>
    </xf>
    <xf numFmtId="10" fontId="28" fillId="0" borderId="0" xfId="10" applyNumberFormat="1" applyFont="1" applyAlignment="1">
      <alignment vertical="center"/>
    </xf>
    <xf numFmtId="0" fontId="21" fillId="0" borderId="0" xfId="10" applyFont="1" applyFill="1" applyAlignment="1">
      <alignment vertical="center"/>
    </xf>
    <xf numFmtId="0" fontId="21" fillId="0" borderId="14" xfId="68" applyFont="1" applyFill="1" applyBorder="1" applyAlignment="1">
      <alignment horizontal="center" vertical="center" wrapText="1"/>
    </xf>
    <xf numFmtId="10" fontId="16" fillId="0" borderId="7" xfId="73" applyNumberFormat="1" applyFont="1" applyFill="1" applyBorder="1" applyAlignment="1">
      <alignment horizontal="right" vertical="center"/>
    </xf>
    <xf numFmtId="2" fontId="16" fillId="0" borderId="8" xfId="68" applyNumberFormat="1" applyFont="1" applyFill="1" applyBorder="1" applyAlignment="1">
      <alignment horizontal="right" vertical="center" wrapText="1"/>
    </xf>
    <xf numFmtId="2" fontId="16" fillId="0" borderId="22" xfId="68" applyNumberFormat="1" applyFont="1" applyFill="1" applyBorder="1" applyAlignment="1">
      <alignment horizontal="right" vertical="center" wrapText="1"/>
    </xf>
    <xf numFmtId="0" fontId="16" fillId="0" borderId="5" xfId="68" applyFont="1" applyFill="1" applyBorder="1" applyAlignment="1">
      <alignment horizontal="center" vertical="center"/>
    </xf>
    <xf numFmtId="0" fontId="9" fillId="0" borderId="7" xfId="73" applyFont="1" applyFill="1" applyBorder="1" applyAlignment="1">
      <alignment horizontal="left" vertical="center"/>
    </xf>
    <xf numFmtId="0" fontId="16" fillId="0" borderId="7" xfId="73" applyFont="1" applyFill="1" applyBorder="1" applyAlignment="1">
      <alignment horizontal="center" vertical="center"/>
    </xf>
    <xf numFmtId="2" fontId="16" fillId="0" borderId="4" xfId="68" applyNumberFormat="1" applyFont="1" applyFill="1" applyBorder="1" applyAlignment="1">
      <alignment horizontal="right" vertical="center"/>
    </xf>
    <xf numFmtId="2" fontId="16" fillId="0" borderId="4" xfId="19" applyNumberFormat="1" applyFont="1" applyFill="1" applyBorder="1" applyAlignment="1">
      <alignment horizontal="right" vertical="center"/>
    </xf>
    <xf numFmtId="0" fontId="16" fillId="0" borderId="21" xfId="68" applyFont="1" applyFill="1" applyBorder="1" applyAlignment="1">
      <alignment horizontal="center" vertical="center"/>
    </xf>
    <xf numFmtId="0" fontId="9" fillId="0" borderId="4" xfId="73" applyFont="1" applyFill="1" applyBorder="1" applyAlignment="1">
      <alignment horizontal="left" vertical="center" wrapText="1"/>
    </xf>
    <xf numFmtId="0" fontId="16" fillId="0" borderId="4" xfId="73" applyFont="1" applyFill="1" applyBorder="1" applyAlignment="1">
      <alignment horizontal="center" vertical="center"/>
    </xf>
    <xf numFmtId="2" fontId="16" fillId="0" borderId="4" xfId="73" applyNumberFormat="1" applyFont="1" applyFill="1" applyBorder="1" applyAlignment="1">
      <alignment horizontal="right" vertical="center"/>
    </xf>
    <xf numFmtId="0" fontId="9" fillId="0" borderId="4" xfId="73" applyFont="1" applyFill="1" applyBorder="1" applyAlignment="1">
      <alignment horizontal="left" vertical="center"/>
    </xf>
    <xf numFmtId="0" fontId="16" fillId="0" borderId="12" xfId="68" applyFont="1" applyFill="1" applyBorder="1" applyAlignment="1">
      <alignment horizontal="center" vertical="center"/>
    </xf>
    <xf numFmtId="0" fontId="21" fillId="0" borderId="13" xfId="68" applyFont="1" applyFill="1" applyBorder="1" applyAlignment="1">
      <alignment horizontal="center" vertical="center"/>
    </xf>
    <xf numFmtId="0" fontId="16" fillId="0" borderId="13" xfId="68" applyFont="1" applyFill="1" applyBorder="1" applyAlignment="1">
      <alignment horizontal="center" vertical="center"/>
    </xf>
    <xf numFmtId="2" fontId="21" fillId="0" borderId="13" xfId="19" applyNumberFormat="1" applyFont="1" applyFill="1" applyBorder="1" applyAlignment="1">
      <alignment horizontal="right" vertical="center"/>
    </xf>
    <xf numFmtId="2" fontId="21" fillId="0" borderId="13" xfId="68" applyNumberFormat="1" applyFont="1" applyFill="1" applyBorder="1" applyAlignment="1">
      <alignment horizontal="right" vertical="center" wrapText="1"/>
    </xf>
    <xf numFmtId="0" fontId="21" fillId="0" borderId="22" xfId="68" applyFont="1" applyFill="1" applyBorder="1" applyAlignment="1">
      <alignment horizontal="center" vertical="center" wrapText="1"/>
    </xf>
    <xf numFmtId="0" fontId="16" fillId="0" borderId="15" xfId="68" applyFont="1" applyFill="1" applyBorder="1" applyAlignment="1">
      <alignment horizontal="center" vertical="center"/>
    </xf>
    <xf numFmtId="0" fontId="16" fillId="0" borderId="16" xfId="73" applyFont="1" applyFill="1" applyBorder="1" applyAlignment="1">
      <alignment vertical="center" wrapText="1"/>
    </xf>
    <xf numFmtId="0" fontId="16" fillId="0" borderId="16" xfId="73" applyFont="1" applyFill="1" applyBorder="1" applyAlignment="1">
      <alignment horizontal="center" vertical="center" wrapText="1"/>
    </xf>
    <xf numFmtId="10" fontId="16" fillId="0" borderId="16" xfId="73" applyNumberFormat="1" applyFont="1" applyFill="1" applyBorder="1" applyAlignment="1">
      <alignment horizontal="right" vertical="center"/>
    </xf>
    <xf numFmtId="2" fontId="16" fillId="0" borderId="16" xfId="68" applyNumberFormat="1" applyFont="1" applyFill="1" applyBorder="1" applyAlignment="1">
      <alignment horizontal="right" vertical="center"/>
    </xf>
    <xf numFmtId="0" fontId="16" fillId="0" borderId="23" xfId="73" applyFont="1" applyFill="1" applyBorder="1" applyAlignment="1">
      <alignment vertical="center" wrapText="1"/>
    </xf>
    <xf numFmtId="0" fontId="16" fillId="0" borderId="7" xfId="73" applyFont="1" applyFill="1" applyBorder="1" applyAlignment="1">
      <alignment horizontal="center" vertical="center" wrapText="1"/>
    </xf>
    <xf numFmtId="2" fontId="16" fillId="0" borderId="6" xfId="68" applyNumberFormat="1" applyFont="1" applyFill="1" applyBorder="1" applyAlignment="1">
      <alignment horizontal="right" vertical="center"/>
    </xf>
    <xf numFmtId="0" fontId="9" fillId="0" borderId="7" xfId="73" applyFont="1" applyFill="1" applyBorder="1" applyAlignment="1">
      <alignment horizontal="left" vertical="center" wrapText="1"/>
    </xf>
    <xf numFmtId="2" fontId="21" fillId="0" borderId="26" xfId="19" applyNumberFormat="1" applyFont="1" applyFill="1" applyBorder="1" applyAlignment="1">
      <alignment horizontal="right" vertical="center"/>
    </xf>
    <xf numFmtId="2" fontId="21" fillId="0" borderId="14" xfId="19" applyNumberFormat="1" applyFont="1" applyFill="1" applyBorder="1" applyAlignment="1">
      <alignment horizontal="right" vertical="center"/>
    </xf>
    <xf numFmtId="2" fontId="16" fillId="0" borderId="16" xfId="68" applyNumberFormat="1" applyFont="1" applyFill="1" applyBorder="1" applyAlignment="1">
      <alignment horizontal="right" vertical="center" wrapText="1"/>
    </xf>
    <xf numFmtId="2" fontId="16" fillId="0" borderId="17" xfId="68" applyNumberFormat="1" applyFont="1" applyFill="1" applyBorder="1" applyAlignment="1">
      <alignment horizontal="right" vertical="center" wrapText="1"/>
    </xf>
    <xf numFmtId="2" fontId="16" fillId="0" borderId="4" xfId="68" applyNumberFormat="1" applyFont="1" applyFill="1" applyBorder="1" applyAlignment="1">
      <alignment horizontal="right" vertical="center" wrapText="1"/>
    </xf>
    <xf numFmtId="2" fontId="16" fillId="0" borderId="11" xfId="68" applyNumberFormat="1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center" wrapText="1"/>
    </xf>
    <xf numFmtId="2" fontId="32" fillId="0" borderId="0" xfId="0" applyNumberFormat="1" applyFont="1" applyFill="1" applyBorder="1"/>
    <xf numFmtId="43" fontId="32" fillId="0" borderId="0" xfId="0" applyNumberFormat="1" applyFont="1" applyFill="1" applyBorder="1"/>
    <xf numFmtId="0" fontId="32" fillId="0" borderId="0" xfId="0" applyFont="1" applyFill="1" applyBorder="1"/>
    <xf numFmtId="43" fontId="32" fillId="0" borderId="0" xfId="24" applyNumberFormat="1" applyFont="1" applyFill="1" applyBorder="1"/>
    <xf numFmtId="43" fontId="32" fillId="0" borderId="0" xfId="24" applyNumberFormat="1" applyFont="1" applyFill="1" applyBorder="1" applyAlignment="1">
      <alignment horizontal="right"/>
    </xf>
    <xf numFmtId="164" fontId="32" fillId="0" borderId="0" xfId="74" applyFont="1" applyFill="1" applyBorder="1"/>
    <xf numFmtId="43" fontId="32" fillId="0" borderId="0" xfId="71" applyFont="1" applyFill="1" applyBorder="1" applyAlignment="1">
      <alignment horizontal="right"/>
    </xf>
    <xf numFmtId="43" fontId="32" fillId="0" borderId="0" xfId="71" applyFont="1" applyFill="1" applyBorder="1"/>
    <xf numFmtId="43" fontId="31" fillId="0" borderId="0" xfId="71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43" fontId="13" fillId="0" borderId="0" xfId="71" applyFont="1" applyBorder="1" applyAlignment="1">
      <alignment horizontal="right" vertical="center"/>
    </xf>
    <xf numFmtId="0" fontId="21" fillId="0" borderId="8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/>
    </xf>
    <xf numFmtId="43" fontId="16" fillId="0" borderId="4" xfId="10" applyNumberFormat="1" applyFont="1" applyFill="1" applyBorder="1" applyAlignment="1">
      <alignment horizontal="right" vertical="center"/>
    </xf>
    <xf numFmtId="0" fontId="16" fillId="0" borderId="6" xfId="14" applyFont="1" applyBorder="1" applyAlignment="1">
      <alignment horizontal="center" vertical="center"/>
    </xf>
    <xf numFmtId="0" fontId="21" fillId="0" borderId="6" xfId="14" applyFont="1" applyBorder="1" applyAlignment="1">
      <alignment horizontal="center" vertical="center"/>
    </xf>
    <xf numFmtId="0" fontId="16" fillId="0" borderId="5" xfId="14" applyFont="1" applyBorder="1">
      <alignment vertical="center"/>
    </xf>
    <xf numFmtId="0" fontId="16" fillId="0" borderId="5" xfId="14" applyFont="1" applyBorder="1" applyAlignment="1">
      <alignment vertical="top" wrapText="1"/>
    </xf>
    <xf numFmtId="0" fontId="21" fillId="0" borderId="5" xfId="14" applyFont="1" applyBorder="1">
      <alignment vertical="center"/>
    </xf>
    <xf numFmtId="2" fontId="8" fillId="0" borderId="13" xfId="10" applyNumberFormat="1" applyFont="1" applyBorder="1" applyAlignment="1">
      <alignment horizontal="right" vertical="center"/>
    </xf>
    <xf numFmtId="2" fontId="13" fillId="0" borderId="13" xfId="10" applyNumberFormat="1" applyFont="1" applyBorder="1" applyAlignment="1">
      <alignment horizontal="right" vertical="center"/>
    </xf>
    <xf numFmtId="2" fontId="13" fillId="0" borderId="14" xfId="10" applyNumberFormat="1" applyFont="1" applyBorder="1" applyAlignment="1">
      <alignment horizontal="right" vertical="center"/>
    </xf>
    <xf numFmtId="0" fontId="16" fillId="0" borderId="6" xfId="14" applyFont="1" applyFill="1" applyBorder="1" applyAlignment="1">
      <alignment horizontal="left" vertical="center"/>
    </xf>
    <xf numFmtId="2" fontId="13" fillId="0" borderId="38" xfId="10" applyNumberFormat="1" applyFont="1" applyBorder="1" applyAlignment="1">
      <alignment horizontal="right" vertical="center"/>
    </xf>
    <xf numFmtId="0" fontId="16" fillId="0" borderId="5" xfId="14" applyFont="1" applyFill="1" applyBorder="1" applyAlignment="1">
      <alignment horizontal="right" vertical="center"/>
    </xf>
    <xf numFmtId="2" fontId="8" fillId="0" borderId="11" xfId="10" applyNumberFormat="1" applyFont="1" applyFill="1" applyBorder="1" applyAlignment="1">
      <alignment horizontal="right" vertical="center"/>
    </xf>
    <xf numFmtId="0" fontId="16" fillId="0" borderId="5" xfId="14" applyFont="1" applyFill="1" applyBorder="1" applyAlignment="1">
      <alignment horizontal="left" vertical="center"/>
    </xf>
    <xf numFmtId="2" fontId="13" fillId="0" borderId="11" xfId="10" applyNumberFormat="1" applyFont="1" applyFill="1" applyBorder="1" applyAlignment="1">
      <alignment horizontal="right" vertical="center"/>
    </xf>
    <xf numFmtId="2" fontId="8" fillId="0" borderId="40" xfId="10" applyNumberFormat="1" applyFont="1" applyBorder="1" applyAlignment="1">
      <alignment horizontal="right" vertical="center"/>
    </xf>
    <xf numFmtId="2" fontId="13" fillId="0" borderId="40" xfId="10" applyNumberFormat="1" applyFont="1" applyBorder="1" applyAlignment="1">
      <alignment horizontal="right" vertical="center"/>
    </xf>
    <xf numFmtId="0" fontId="21" fillId="0" borderId="16" xfId="14" applyFont="1" applyBorder="1" applyAlignment="1">
      <alignment horizontal="center" vertical="center" wrapText="1"/>
    </xf>
    <xf numFmtId="2" fontId="8" fillId="0" borderId="5" xfId="10" applyNumberFormat="1" applyFont="1" applyFill="1" applyBorder="1" applyAlignment="1">
      <alignment horizontal="right" vertical="center"/>
    </xf>
    <xf numFmtId="2" fontId="13" fillId="0" borderId="5" xfId="10" applyNumberFormat="1" applyFont="1" applyFill="1" applyBorder="1" applyAlignment="1">
      <alignment horizontal="right" vertical="center"/>
    </xf>
    <xf numFmtId="2" fontId="13" fillId="0" borderId="44" xfId="10" applyNumberFormat="1" applyFont="1" applyBorder="1" applyAlignment="1">
      <alignment horizontal="right" vertical="center"/>
    </xf>
    <xf numFmtId="2" fontId="8" fillId="0" borderId="5" xfId="10" applyNumberFormat="1" applyFont="1" applyBorder="1" applyAlignment="1">
      <alignment horizontal="right" vertical="center"/>
    </xf>
    <xf numFmtId="2" fontId="13" fillId="0" borderId="5" xfId="10" applyNumberFormat="1" applyFont="1" applyBorder="1" applyAlignment="1">
      <alignment horizontal="right" vertical="center"/>
    </xf>
    <xf numFmtId="2" fontId="8" fillId="0" borderId="42" xfId="10" applyNumberFormat="1" applyFont="1" applyBorder="1" applyAlignment="1">
      <alignment horizontal="right" vertical="center"/>
    </xf>
    <xf numFmtId="2" fontId="8" fillId="0" borderId="7" xfId="10" applyNumberFormat="1" applyFont="1" applyBorder="1" applyAlignment="1">
      <alignment horizontal="right" vertical="center"/>
    </xf>
    <xf numFmtId="2" fontId="8" fillId="0" borderId="43" xfId="10" applyNumberFormat="1" applyFont="1" applyBorder="1" applyAlignment="1">
      <alignment horizontal="right" vertical="center"/>
    </xf>
    <xf numFmtId="0" fontId="21" fillId="0" borderId="12" xfId="10" applyFont="1" applyBorder="1" applyAlignment="1">
      <alignment horizontal="center" vertical="center" wrapText="1"/>
    </xf>
    <xf numFmtId="0" fontId="21" fillId="0" borderId="47" xfId="10" applyFont="1" applyBorder="1" applyAlignment="1">
      <alignment horizontal="center" vertical="center" wrapText="1"/>
    </xf>
    <xf numFmtId="0" fontId="21" fillId="0" borderId="48" xfId="14" applyFont="1" applyBorder="1" applyAlignment="1">
      <alignment horizontal="center" vertical="center" wrapText="1"/>
    </xf>
    <xf numFmtId="2" fontId="13" fillId="0" borderId="49" xfId="10" applyNumberFormat="1" applyFont="1" applyBorder="1" applyAlignment="1">
      <alignment horizontal="right" vertical="center"/>
    </xf>
    <xf numFmtId="2" fontId="8" fillId="0" borderId="42" xfId="10" applyNumberFormat="1" applyFont="1" applyFill="1" applyBorder="1" applyAlignment="1">
      <alignment horizontal="right" vertical="center"/>
    </xf>
    <xf numFmtId="0" fontId="16" fillId="0" borderId="42" xfId="14" applyFont="1" applyFill="1" applyBorder="1" applyAlignment="1">
      <alignment horizontal="right" vertical="center"/>
    </xf>
    <xf numFmtId="2" fontId="8" fillId="0" borderId="7" xfId="10" applyNumberFormat="1" applyFont="1" applyFill="1" applyBorder="1" applyAlignment="1">
      <alignment horizontal="right" vertical="center"/>
    </xf>
    <xf numFmtId="2" fontId="8" fillId="0" borderId="43" xfId="10" applyNumberFormat="1" applyFont="1" applyFill="1" applyBorder="1" applyAlignment="1">
      <alignment horizontal="right" vertical="center"/>
    </xf>
    <xf numFmtId="0" fontId="16" fillId="0" borderId="4" xfId="10" applyFont="1" applyBorder="1" applyAlignment="1">
      <alignment horizontal="right" vertical="center" wrapText="1"/>
    </xf>
    <xf numFmtId="2" fontId="13" fillId="0" borderId="13" xfId="10" applyNumberFormat="1" applyFont="1" applyBorder="1" applyAlignment="1">
      <alignment horizontal="center" vertical="center"/>
    </xf>
    <xf numFmtId="0" fontId="16" fillId="0" borderId="0" xfId="10" applyFont="1" applyBorder="1" applyAlignment="1">
      <alignment vertical="center"/>
    </xf>
    <xf numFmtId="2" fontId="13" fillId="0" borderId="4" xfId="10" applyNumberFormat="1" applyFont="1" applyBorder="1" applyAlignment="1">
      <alignment vertical="center"/>
    </xf>
    <xf numFmtId="2" fontId="13" fillId="0" borderId="14" xfId="10" applyNumberFormat="1" applyFont="1" applyBorder="1" applyAlignment="1">
      <alignment horizontal="center" vertical="center"/>
    </xf>
    <xf numFmtId="0" fontId="21" fillId="0" borderId="32" xfId="14" applyFont="1" applyBorder="1" applyAlignment="1">
      <alignment horizontal="center" vertical="center"/>
    </xf>
    <xf numFmtId="0" fontId="21" fillId="0" borderId="21" xfId="14" applyFont="1" applyBorder="1">
      <alignment vertical="center"/>
    </xf>
    <xf numFmtId="0" fontId="16" fillId="0" borderId="8" xfId="14" applyFont="1" applyBorder="1" applyAlignment="1">
      <alignment horizontal="center" vertical="center"/>
    </xf>
    <xf numFmtId="43" fontId="26" fillId="0" borderId="8" xfId="71" applyFont="1" applyFill="1" applyBorder="1" applyAlignment="1">
      <alignment vertical="top"/>
    </xf>
    <xf numFmtId="2" fontId="8" fillId="0" borderId="8" xfId="10" applyNumberFormat="1" applyFont="1" applyBorder="1" applyAlignment="1">
      <alignment horizontal="right" vertical="center"/>
    </xf>
    <xf numFmtId="0" fontId="21" fillId="0" borderId="51" xfId="14" applyFont="1" applyBorder="1" applyAlignment="1">
      <alignment horizontal="center" vertical="center"/>
    </xf>
    <xf numFmtId="0" fontId="21" fillId="0" borderId="47" xfId="14" applyFont="1" applyBorder="1" applyAlignment="1">
      <alignment horizontal="left" vertical="center" wrapText="1"/>
    </xf>
    <xf numFmtId="0" fontId="21" fillId="0" borderId="48" xfId="14" applyFont="1" applyBorder="1" applyAlignment="1">
      <alignment horizontal="center" vertical="center"/>
    </xf>
    <xf numFmtId="0" fontId="16" fillId="0" borderId="52" xfId="14" applyFont="1" applyBorder="1" applyAlignment="1">
      <alignment horizontal="left" vertical="center"/>
    </xf>
    <xf numFmtId="2" fontId="13" fillId="0" borderId="47" xfId="10" applyNumberFormat="1" applyFont="1" applyBorder="1" applyAlignment="1">
      <alignment horizontal="right" vertical="center"/>
    </xf>
    <xf numFmtId="2" fontId="8" fillId="0" borderId="49" xfId="10" applyNumberFormat="1" applyFont="1" applyBorder="1" applyAlignment="1">
      <alignment horizontal="right" vertical="center"/>
    </xf>
    <xf numFmtId="0" fontId="16" fillId="0" borderId="5" xfId="10" applyFont="1" applyBorder="1" applyAlignment="1">
      <alignment horizontal="center" vertical="center"/>
    </xf>
    <xf numFmtId="0" fontId="21" fillId="0" borderId="13" xfId="68" applyFont="1" applyFill="1" applyBorder="1" applyAlignment="1">
      <alignment horizontal="center" vertical="center" wrapText="1"/>
    </xf>
    <xf numFmtId="0" fontId="21" fillId="0" borderId="8" xfId="68" applyFont="1" applyFill="1" applyBorder="1" applyAlignment="1">
      <alignment horizontal="center" vertical="center" wrapText="1"/>
    </xf>
    <xf numFmtId="10" fontId="16" fillId="0" borderId="4" xfId="73" applyNumberFormat="1" applyFont="1" applyFill="1" applyBorder="1" applyAlignment="1">
      <alignment horizontal="right" vertical="center"/>
    </xf>
    <xf numFmtId="2" fontId="16" fillId="0" borderId="4" xfId="0" applyNumberFormat="1" applyFont="1" applyFill="1" applyBorder="1" applyAlignment="1">
      <alignment vertical="top"/>
    </xf>
    <xf numFmtId="43" fontId="8" fillId="0" borderId="11" xfId="71" applyFont="1" applyBorder="1" applyAlignment="1">
      <alignment horizontal="right" vertical="center"/>
    </xf>
    <xf numFmtId="0" fontId="16" fillId="0" borderId="12" xfId="10" applyFont="1" applyBorder="1" applyAlignment="1">
      <alignment horizontal="center" vertical="center"/>
    </xf>
    <xf numFmtId="0" fontId="16" fillId="0" borderId="13" xfId="10" applyFont="1" applyBorder="1" applyAlignment="1">
      <alignment horizontal="left" vertical="center"/>
    </xf>
    <xf numFmtId="43" fontId="13" fillId="0" borderId="13" xfId="71" applyFont="1" applyBorder="1" applyAlignment="1">
      <alignment horizontal="right" vertical="center"/>
    </xf>
    <xf numFmtId="0" fontId="16" fillId="0" borderId="42" xfId="10" applyFont="1" applyBorder="1" applyAlignment="1">
      <alignment horizontal="center" vertical="center"/>
    </xf>
    <xf numFmtId="0" fontId="16" fillId="0" borderId="7" xfId="10" applyFont="1" applyBorder="1" applyAlignment="1">
      <alignment horizontal="left" vertical="center"/>
    </xf>
    <xf numFmtId="0" fontId="16" fillId="0" borderId="42" xfId="68" applyFont="1" applyFill="1" applyBorder="1" applyAlignment="1">
      <alignment horizontal="center" vertical="center"/>
    </xf>
    <xf numFmtId="0" fontId="16" fillId="0" borderId="7" xfId="73" applyFont="1" applyFill="1" applyBorder="1" applyAlignment="1">
      <alignment vertical="center" wrapText="1"/>
    </xf>
    <xf numFmtId="2" fontId="16" fillId="0" borderId="33" xfId="68" applyNumberFormat="1" applyFont="1" applyFill="1" applyBorder="1" applyAlignment="1">
      <alignment horizontal="right" vertical="center"/>
    </xf>
    <xf numFmtId="43" fontId="16" fillId="0" borderId="7" xfId="10" applyNumberFormat="1" applyFont="1" applyFill="1" applyBorder="1" applyAlignment="1">
      <alignment horizontal="right" vertical="center"/>
    </xf>
    <xf numFmtId="2" fontId="16" fillId="0" borderId="10" xfId="68" applyNumberFormat="1" applyFont="1" applyFill="1" applyBorder="1" applyAlignment="1">
      <alignment horizontal="right" vertical="center" wrapText="1"/>
    </xf>
    <xf numFmtId="2" fontId="16" fillId="0" borderId="7" xfId="68" applyNumberFormat="1" applyFont="1" applyFill="1" applyBorder="1" applyAlignment="1">
      <alignment horizontal="right" vertical="center"/>
    </xf>
    <xf numFmtId="2" fontId="16" fillId="0" borderId="7" xfId="19" applyNumberFormat="1" applyFont="1" applyFill="1" applyBorder="1" applyAlignment="1">
      <alignment horizontal="right" vertical="center"/>
    </xf>
    <xf numFmtId="2" fontId="16" fillId="0" borderId="53" xfId="68" applyNumberFormat="1" applyFont="1" applyFill="1" applyBorder="1" applyAlignment="1">
      <alignment horizontal="right" vertical="center" wrapText="1"/>
    </xf>
    <xf numFmtId="0" fontId="16" fillId="0" borderId="54" xfId="68" applyFont="1" applyFill="1" applyBorder="1" applyAlignment="1">
      <alignment horizontal="center" vertical="center" wrapText="1"/>
    </xf>
    <xf numFmtId="0" fontId="16" fillId="0" borderId="7" xfId="68" applyFont="1" applyFill="1" applyBorder="1" applyAlignment="1">
      <alignment horizontal="left" vertical="center" wrapText="1"/>
    </xf>
    <xf numFmtId="0" fontId="16" fillId="0" borderId="7" xfId="68" applyFont="1" applyFill="1" applyBorder="1" applyAlignment="1">
      <alignment horizontal="center" vertical="center" wrapText="1"/>
    </xf>
    <xf numFmtId="0" fontId="16" fillId="0" borderId="7" xfId="68" applyFont="1" applyFill="1" applyBorder="1" applyAlignment="1">
      <alignment horizontal="right" vertical="center" wrapText="1"/>
    </xf>
    <xf numFmtId="2" fontId="16" fillId="0" borderId="7" xfId="68" applyNumberFormat="1" applyFont="1" applyFill="1" applyBorder="1" applyAlignment="1">
      <alignment horizontal="right" vertical="center" wrapText="1"/>
    </xf>
    <xf numFmtId="2" fontId="16" fillId="0" borderId="43" xfId="68" applyNumberFormat="1" applyFont="1" applyFill="1" applyBorder="1" applyAlignment="1">
      <alignment horizontal="right" vertical="center" wrapText="1"/>
    </xf>
    <xf numFmtId="0" fontId="16" fillId="0" borderId="28" xfId="10" applyFont="1" applyBorder="1" applyAlignment="1">
      <alignment vertical="center"/>
    </xf>
    <xf numFmtId="0" fontId="16" fillId="0" borderId="35" xfId="10" applyFont="1" applyBorder="1" applyAlignment="1">
      <alignment vertical="center"/>
    </xf>
    <xf numFmtId="0" fontId="21" fillId="0" borderId="35" xfId="14" applyFont="1" applyBorder="1" applyAlignment="1">
      <alignment horizontal="center" vertical="center"/>
    </xf>
    <xf numFmtId="0" fontId="16" fillId="0" borderId="36" xfId="10" applyFont="1" applyBorder="1" applyAlignment="1">
      <alignment vertical="center"/>
    </xf>
    <xf numFmtId="0" fontId="16" fillId="0" borderId="29" xfId="10" applyFont="1" applyBorder="1" applyAlignment="1">
      <alignment vertical="center"/>
    </xf>
    <xf numFmtId="0" fontId="21" fillId="0" borderId="0" xfId="10" applyFont="1" applyBorder="1" applyAlignment="1">
      <alignment horizontal="center" vertical="center"/>
    </xf>
    <xf numFmtId="0" fontId="16" fillId="0" borderId="46" xfId="10" applyFont="1" applyBorder="1" applyAlignment="1">
      <alignment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/>
    </xf>
    <xf numFmtId="43" fontId="13" fillId="0" borderId="4" xfId="14" applyNumberFormat="1" applyFont="1" applyFill="1" applyBorder="1">
      <alignment vertical="center"/>
    </xf>
    <xf numFmtId="4" fontId="16" fillId="0" borderId="0" xfId="10" applyNumberFormat="1" applyFont="1" applyFill="1" applyAlignment="1">
      <alignment vertical="center"/>
    </xf>
    <xf numFmtId="0" fontId="33" fillId="0" borderId="0" xfId="10" applyFont="1" applyFill="1" applyAlignment="1">
      <alignment vertical="center"/>
    </xf>
    <xf numFmtId="2" fontId="13" fillId="0" borderId="4" xfId="10" applyNumberFormat="1" applyFont="1" applyBorder="1" applyAlignment="1">
      <alignment horizontal="center" vertical="center"/>
    </xf>
    <xf numFmtId="43" fontId="13" fillId="0" borderId="14" xfId="71" applyFont="1" applyBorder="1" applyAlignment="1">
      <alignment horizontal="right" vertical="center"/>
    </xf>
    <xf numFmtId="2" fontId="8" fillId="0" borderId="4" xfId="10" applyNumberFormat="1" applyFont="1" applyBorder="1" applyAlignment="1">
      <alignment horizontal="center" vertical="center"/>
    </xf>
    <xf numFmtId="43" fontId="16" fillId="0" borderId="4" xfId="10" applyNumberFormat="1" applyFont="1" applyBorder="1"/>
    <xf numFmtId="10" fontId="16" fillId="0" borderId="4" xfId="10" applyNumberFormat="1" applyFont="1" applyBorder="1"/>
    <xf numFmtId="43" fontId="8" fillId="0" borderId="4" xfId="10" applyNumberFormat="1" applyFont="1" applyBorder="1" applyAlignment="1"/>
    <xf numFmtId="43" fontId="21" fillId="0" borderId="4" xfId="10" applyNumberFormat="1" applyFont="1" applyBorder="1"/>
    <xf numFmtId="2" fontId="16" fillId="0" borderId="4" xfId="10" applyNumberFormat="1" applyFont="1" applyBorder="1" applyAlignment="1">
      <alignment horizontal="right" wrapText="1"/>
    </xf>
    <xf numFmtId="2" fontId="8" fillId="0" borderId="4" xfId="10" applyNumberFormat="1" applyFont="1" applyBorder="1" applyAlignment="1">
      <alignment horizontal="right"/>
    </xf>
    <xf numFmtId="2" fontId="16" fillId="0" borderId="4" xfId="10" applyNumberFormat="1" applyFont="1" applyBorder="1" applyAlignment="1"/>
    <xf numFmtId="2" fontId="21" fillId="0" borderId="4" xfId="10" applyNumberFormat="1" applyFont="1" applyBorder="1" applyAlignment="1">
      <alignment horizontal="right" vertical="center" wrapText="1"/>
    </xf>
    <xf numFmtId="2" fontId="16" fillId="0" borderId="4" xfId="10" applyNumberFormat="1" applyFont="1" applyBorder="1"/>
    <xf numFmtId="0" fontId="8" fillId="0" borderId="6" xfId="14" applyFont="1" applyBorder="1">
      <alignment vertical="center"/>
    </xf>
    <xf numFmtId="2" fontId="8" fillId="0" borderId="9" xfId="14" applyNumberFormat="1" applyFont="1" applyBorder="1">
      <alignment vertical="center"/>
    </xf>
    <xf numFmtId="2" fontId="34" fillId="0" borderId="4" xfId="14" applyNumberFormat="1" applyFont="1" applyFill="1" applyBorder="1">
      <alignment vertical="center"/>
    </xf>
    <xf numFmtId="43" fontId="8" fillId="0" borderId="4" xfId="14" applyNumberFormat="1" applyFont="1" applyBorder="1" applyAlignment="1">
      <alignment horizontal="right" vertical="center"/>
    </xf>
    <xf numFmtId="2" fontId="16" fillId="0" borderId="5" xfId="14" applyNumberFormat="1" applyFont="1" applyFill="1" applyBorder="1" applyAlignment="1">
      <alignment horizontal="right" vertical="center"/>
    </xf>
    <xf numFmtId="0" fontId="16" fillId="0" borderId="4" xfId="14" applyFont="1" applyFill="1" applyBorder="1" applyAlignment="1">
      <alignment horizontal="left" vertical="center"/>
    </xf>
    <xf numFmtId="0" fontId="16" fillId="0" borderId="13" xfId="14" applyFont="1" applyBorder="1" applyAlignment="1">
      <alignment horizontal="left" vertical="center"/>
    </xf>
    <xf numFmtId="43" fontId="31" fillId="0" borderId="4" xfId="71" applyFont="1" applyFill="1" applyBorder="1" applyAlignment="1">
      <alignment horizontal="right"/>
    </xf>
    <xf numFmtId="43" fontId="16" fillId="0" borderId="0" xfId="14" applyNumberFormat="1" applyFont="1" applyFill="1">
      <alignment vertical="center"/>
    </xf>
    <xf numFmtId="2" fontId="8" fillId="0" borderId="4" xfId="71" applyNumberFormat="1" applyFont="1" applyBorder="1" applyAlignment="1">
      <alignment horizontal="right" vertical="center"/>
    </xf>
    <xf numFmtId="2" fontId="13" fillId="0" borderId="43" xfId="10" applyNumberFormat="1" applyFont="1" applyBorder="1" applyAlignment="1">
      <alignment horizontal="right" vertical="center"/>
    </xf>
    <xf numFmtId="0" fontId="16" fillId="4" borderId="4" xfId="10" applyFont="1" applyFill="1" applyBorder="1"/>
    <xf numFmtId="43" fontId="8" fillId="4" borderId="4" xfId="71" applyFont="1" applyFill="1" applyBorder="1" applyAlignment="1">
      <alignment horizontal="right" vertical="center"/>
    </xf>
    <xf numFmtId="0" fontId="16" fillId="0" borderId="4" xfId="10" applyFont="1" applyFill="1" applyBorder="1" applyAlignment="1">
      <alignment vertical="center"/>
    </xf>
    <xf numFmtId="0" fontId="13" fillId="0" borderId="8" xfId="10" applyFont="1" applyFill="1" applyBorder="1" applyAlignment="1">
      <alignment horizontal="center" vertical="center" wrapText="1"/>
    </xf>
    <xf numFmtId="0" fontId="13" fillId="0" borderId="7" xfId="10" applyFont="1" applyFill="1" applyBorder="1" applyAlignment="1">
      <alignment horizontal="center" vertical="center" wrapText="1"/>
    </xf>
    <xf numFmtId="0" fontId="21" fillId="0" borderId="4" xfId="14" applyFont="1" applyFill="1" applyBorder="1" applyAlignment="1">
      <alignment horizontal="center" vertical="center" wrapText="1"/>
    </xf>
    <xf numFmtId="0" fontId="21" fillId="0" borderId="0" xfId="10" applyFont="1" applyFill="1" applyAlignment="1">
      <alignment horizontal="left"/>
    </xf>
    <xf numFmtId="0" fontId="21" fillId="0" borderId="4" xfId="10" applyFont="1" applyFill="1" applyBorder="1" applyAlignment="1">
      <alignment horizontal="center" vertical="center" wrapText="1"/>
    </xf>
    <xf numFmtId="2" fontId="13" fillId="0" borderId="4" xfId="10" applyNumberFormat="1" applyFont="1" applyFill="1" applyBorder="1" applyAlignment="1">
      <alignment horizontal="center" vertical="center"/>
    </xf>
    <xf numFmtId="2" fontId="13" fillId="0" borderId="4" xfId="10" applyNumberFormat="1" applyFont="1" applyFill="1" applyBorder="1" applyAlignment="1">
      <alignment horizontal="right" vertical="center"/>
    </xf>
    <xf numFmtId="2" fontId="13" fillId="0" borderId="4" xfId="10" applyNumberFormat="1" applyFont="1" applyFill="1" applyBorder="1" applyAlignment="1">
      <alignment horizontal="right" vertical="center" wrapText="1"/>
    </xf>
    <xf numFmtId="0" fontId="16" fillId="0" borderId="4" xfId="10" applyFont="1" applyFill="1" applyBorder="1" applyAlignment="1">
      <alignment horizontal="center" vertical="center"/>
    </xf>
    <xf numFmtId="43" fontId="8" fillId="0" borderId="4" xfId="71" applyNumberFormat="1" applyFont="1" applyFill="1" applyBorder="1" applyAlignment="1">
      <alignment horizontal="right" vertical="center"/>
    </xf>
    <xf numFmtId="0" fontId="16" fillId="0" borderId="4" xfId="10" applyFont="1" applyFill="1" applyBorder="1" applyAlignment="1">
      <alignment horizontal="left" vertical="center"/>
    </xf>
    <xf numFmtId="0" fontId="22" fillId="0" borderId="0" xfId="10" applyFont="1" applyFill="1" applyAlignment="1">
      <alignment horizontal="right" vertical="center"/>
    </xf>
    <xf numFmtId="0" fontId="22" fillId="0" borderId="0" xfId="10" applyFont="1" applyFill="1" applyAlignment="1">
      <alignment horizontal="left" vertical="center"/>
    </xf>
    <xf numFmtId="0" fontId="21" fillId="0" borderId="0" xfId="10" applyFont="1" applyFill="1" applyAlignment="1">
      <alignment horizontal="left" vertical="center" wrapText="1"/>
    </xf>
    <xf numFmtId="0" fontId="21" fillId="0" borderId="0" xfId="10" applyFont="1" applyFill="1" applyAlignment="1">
      <alignment horizontal="center" vertical="center" wrapText="1"/>
    </xf>
    <xf numFmtId="0" fontId="21" fillId="0" borderId="0" xfId="10" applyFont="1" applyFill="1" applyAlignment="1">
      <alignment horizontal="left" vertical="center"/>
    </xf>
    <xf numFmtId="0" fontId="16" fillId="0" borderId="0" xfId="10" applyFont="1" applyFill="1" applyAlignment="1">
      <alignment horizontal="center"/>
    </xf>
    <xf numFmtId="43" fontId="16" fillId="0" borderId="0" xfId="10" applyNumberFormat="1" applyFont="1" applyFill="1"/>
    <xf numFmtId="0" fontId="16" fillId="0" borderId="0" xfId="10" applyFont="1" applyFill="1" applyBorder="1" applyAlignment="1">
      <alignment vertical="center"/>
    </xf>
    <xf numFmtId="0" fontId="21" fillId="0" borderId="0" xfId="10" applyFont="1" applyFill="1" applyAlignment="1">
      <alignment horizontal="right" vertical="center"/>
    </xf>
    <xf numFmtId="2" fontId="8" fillId="0" borderId="4" xfId="10" applyNumberFormat="1" applyFont="1" applyFill="1" applyBorder="1" applyAlignment="1">
      <alignment horizontal="center" vertical="center"/>
    </xf>
    <xf numFmtId="2" fontId="8" fillId="0" borderId="4" xfId="10" applyNumberFormat="1" applyFont="1" applyFill="1" applyBorder="1" applyAlignment="1">
      <alignment vertical="center"/>
    </xf>
    <xf numFmtId="2" fontId="13" fillId="0" borderId="4" xfId="10" applyNumberFormat="1" applyFont="1" applyFill="1" applyBorder="1" applyAlignment="1">
      <alignment vertical="center"/>
    </xf>
    <xf numFmtId="0" fontId="16" fillId="0" borderId="4" xfId="10" applyFont="1" applyFill="1" applyBorder="1" applyAlignment="1">
      <alignment vertical="center" wrapText="1"/>
    </xf>
    <xf numFmtId="0" fontId="16" fillId="0" borderId="4" xfId="10" applyFont="1" applyFill="1" applyBorder="1" applyAlignment="1">
      <alignment horizontal="left" vertical="center" wrapText="1"/>
    </xf>
    <xf numFmtId="168" fontId="8" fillId="0" borderId="4" xfId="72" applyNumberFormat="1" applyFont="1" applyFill="1" applyBorder="1" applyAlignment="1">
      <alignment horizontal="right" vertical="center"/>
    </xf>
    <xf numFmtId="2" fontId="16" fillId="0" borderId="0" xfId="10" applyNumberFormat="1" applyFont="1" applyFill="1"/>
    <xf numFmtId="0" fontId="21" fillId="0" borderId="8" xfId="14" applyFont="1" applyFill="1" applyBorder="1" applyAlignment="1">
      <alignment horizontal="center" vertical="center"/>
    </xf>
    <xf numFmtId="0" fontId="21" fillId="0" borderId="8" xfId="14" applyFont="1" applyFill="1" applyBorder="1" applyAlignment="1">
      <alignment horizontal="center" vertical="center" wrapText="1"/>
    </xf>
    <xf numFmtId="0" fontId="21" fillId="0" borderId="7" xfId="14" applyFont="1" applyFill="1" applyBorder="1" applyAlignment="1">
      <alignment horizontal="center" vertical="center"/>
    </xf>
    <xf numFmtId="0" fontId="21" fillId="0" borderId="7" xfId="14" applyFont="1" applyFill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 wrapText="1"/>
    </xf>
    <xf numFmtId="0" fontId="21" fillId="0" borderId="4" xfId="10" applyFont="1" applyFill="1" applyBorder="1" applyAlignment="1">
      <alignment vertical="center"/>
    </xf>
    <xf numFmtId="0" fontId="16" fillId="0" borderId="4" xfId="10" applyFont="1" applyFill="1" applyBorder="1" applyAlignment="1">
      <alignment horizontal="right" vertical="center"/>
    </xf>
    <xf numFmtId="0" fontId="16" fillId="0" borderId="6" xfId="10" applyFont="1" applyFill="1" applyBorder="1" applyAlignment="1">
      <alignment horizontal="right" vertical="center"/>
    </xf>
    <xf numFmtId="2" fontId="16" fillId="0" borderId="4" xfId="10" applyNumberFormat="1" applyFont="1" applyFill="1" applyBorder="1" applyAlignment="1">
      <alignment vertical="center"/>
    </xf>
    <xf numFmtId="0" fontId="21" fillId="0" borderId="4" xfId="10" applyFont="1" applyFill="1" applyBorder="1" applyAlignment="1">
      <alignment vertical="center" wrapText="1"/>
    </xf>
    <xf numFmtId="10" fontId="8" fillId="0" borderId="4" xfId="72" applyNumberFormat="1" applyFont="1" applyFill="1" applyBorder="1" applyAlignment="1">
      <alignment vertical="center"/>
    </xf>
    <xf numFmtId="0" fontId="21" fillId="0" borderId="4" xfId="10" applyFont="1" applyFill="1" applyBorder="1" applyAlignment="1">
      <alignment horizontal="left" vertical="center" wrapText="1"/>
    </xf>
    <xf numFmtId="2" fontId="21" fillId="0" borderId="4" xfId="10" applyNumberFormat="1" applyFont="1" applyFill="1" applyBorder="1" applyAlignment="1">
      <alignment vertical="center"/>
    </xf>
    <xf numFmtId="10" fontId="16" fillId="0" borderId="0" xfId="14" applyNumberFormat="1" applyFont="1" applyFill="1">
      <alignment vertical="center"/>
    </xf>
    <xf numFmtId="43" fontId="16" fillId="0" borderId="0" xfId="71" applyFont="1" applyFill="1" applyAlignment="1">
      <alignment vertical="center"/>
    </xf>
    <xf numFmtId="2" fontId="16" fillId="0" borderId="16" xfId="19" applyNumberFormat="1" applyFont="1" applyFill="1" applyBorder="1" applyAlignment="1">
      <alignment horizontal="right" vertical="center"/>
    </xf>
    <xf numFmtId="0" fontId="9" fillId="0" borderId="0" xfId="14" applyFont="1">
      <alignment vertical="center"/>
    </xf>
    <xf numFmtId="0" fontId="9" fillId="0" borderId="0" xfId="10" applyFont="1" applyAlignment="1">
      <alignment vertical="center"/>
    </xf>
    <xf numFmtId="0" fontId="26" fillId="0" borderId="0" xfId="14" applyFont="1" applyAlignment="1">
      <alignment horizontal="center" vertical="center"/>
    </xf>
    <xf numFmtId="0" fontId="9" fillId="0" borderId="0" xfId="10" applyFont="1"/>
    <xf numFmtId="0" fontId="26" fillId="0" borderId="0" xfId="10" applyFont="1" applyAlignment="1">
      <alignment horizontal="center" vertical="center"/>
    </xf>
    <xf numFmtId="0" fontId="26" fillId="0" borderId="0" xfId="14" applyFont="1" applyAlignment="1">
      <alignment horizontal="right" vertical="center"/>
    </xf>
    <xf numFmtId="0" fontId="26" fillId="0" borderId="4" xfId="14" applyFont="1" applyBorder="1" applyAlignment="1">
      <alignment horizontal="center" vertical="center" wrapText="1"/>
    </xf>
    <xf numFmtId="0" fontId="9" fillId="0" borderId="4" xfId="14" applyFont="1" applyBorder="1">
      <alignment vertical="center"/>
    </xf>
    <xf numFmtId="0" fontId="9" fillId="0" borderId="4" xfId="10" quotePrefix="1" applyFont="1" applyBorder="1" applyAlignment="1">
      <alignment horizontal="left" vertical="top" wrapText="1"/>
    </xf>
    <xf numFmtId="2" fontId="9" fillId="0" borderId="4" xfId="10" applyNumberFormat="1" applyFont="1" applyBorder="1" applyAlignment="1">
      <alignment horizontal="right" vertical="center"/>
    </xf>
    <xf numFmtId="2" fontId="9" fillId="0" borderId="4" xfId="10" applyNumberFormat="1" applyFont="1" applyFill="1" applyBorder="1" applyAlignment="1">
      <alignment horizontal="right" vertical="center"/>
    </xf>
    <xf numFmtId="0" fontId="9" fillId="0" borderId="4" xfId="10" applyFont="1" applyBorder="1" applyAlignment="1">
      <alignment horizontal="left"/>
    </xf>
    <xf numFmtId="43" fontId="9" fillId="0" borderId="4" xfId="71" applyFont="1" applyBorder="1" applyAlignment="1">
      <alignment horizontal="right" vertical="center"/>
    </xf>
    <xf numFmtId="0" fontId="9" fillId="0" borderId="4" xfId="10" applyFont="1" applyFill="1" applyBorder="1" applyAlignment="1">
      <alignment horizontal="left"/>
    </xf>
    <xf numFmtId="0" fontId="26" fillId="0" borderId="4" xfId="10" applyFont="1" applyBorder="1" applyAlignment="1">
      <alignment horizontal="left"/>
    </xf>
    <xf numFmtId="2" fontId="26" fillId="0" borderId="4" xfId="10" applyNumberFormat="1" applyFont="1" applyBorder="1" applyAlignment="1">
      <alignment horizontal="right" vertical="center"/>
    </xf>
    <xf numFmtId="0" fontId="9" fillId="0" borderId="4" xfId="10" applyFont="1" applyBorder="1"/>
    <xf numFmtId="0" fontId="26" fillId="0" borderId="4" xfId="14" applyFont="1" applyBorder="1">
      <alignment vertical="center"/>
    </xf>
    <xf numFmtId="0" fontId="8" fillId="0" borderId="21" xfId="14" applyFont="1" applyBorder="1" applyAlignment="1">
      <alignment horizontal="right" vertical="center"/>
    </xf>
    <xf numFmtId="0" fontId="8" fillId="0" borderId="54" xfId="14" applyFont="1" applyBorder="1" applyAlignment="1">
      <alignment horizontal="right" vertical="center"/>
    </xf>
    <xf numFmtId="0" fontId="8" fillId="0" borderId="42" xfId="14" applyFont="1" applyBorder="1" applyAlignment="1">
      <alignment horizontal="right" vertical="center"/>
    </xf>
    <xf numFmtId="2" fontId="8" fillId="0" borderId="8" xfId="10" applyNumberFormat="1" applyFont="1" applyFill="1" applyBorder="1" applyAlignment="1">
      <alignment horizontal="right" vertical="center"/>
    </xf>
    <xf numFmtId="2" fontId="8" fillId="0" borderId="10" xfId="10" applyNumberFormat="1" applyFont="1" applyFill="1" applyBorder="1" applyAlignment="1">
      <alignment horizontal="right" vertical="center"/>
    </xf>
    <xf numFmtId="2" fontId="8" fillId="0" borderId="7" xfId="10" applyNumberFormat="1" applyFont="1" applyFill="1" applyBorder="1" applyAlignment="1">
      <alignment horizontal="right" vertical="center"/>
    </xf>
    <xf numFmtId="2" fontId="8" fillId="0" borderId="22" xfId="10" applyNumberFormat="1" applyFont="1" applyFill="1" applyBorder="1" applyAlignment="1">
      <alignment horizontal="right" vertical="center"/>
    </xf>
    <xf numFmtId="2" fontId="8" fillId="0" borderId="53" xfId="10" applyNumberFormat="1" applyFont="1" applyFill="1" applyBorder="1" applyAlignment="1">
      <alignment horizontal="right" vertical="center"/>
    </xf>
    <xf numFmtId="2" fontId="8" fillId="0" borderId="43" xfId="10" applyNumberFormat="1" applyFont="1" applyFill="1" applyBorder="1" applyAlignment="1">
      <alignment horizontal="right" vertical="center"/>
    </xf>
    <xf numFmtId="0" fontId="21" fillId="0" borderId="24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32" xfId="14" applyFont="1" applyBorder="1" applyAlignment="1">
      <alignment horizontal="center" vertical="center" wrapText="1"/>
    </xf>
    <xf numFmtId="0" fontId="21" fillId="0" borderId="34" xfId="14" applyFont="1" applyBorder="1" applyAlignment="1">
      <alignment horizontal="center" vertical="center" wrapText="1"/>
    </xf>
    <xf numFmtId="0" fontId="16" fillId="0" borderId="33" xfId="10" applyFont="1" applyBorder="1" applyAlignment="1">
      <alignment horizontal="center" vertical="center" wrapText="1"/>
    </xf>
    <xf numFmtId="0" fontId="21" fillId="0" borderId="15" xfId="14" applyFont="1" applyBorder="1" applyAlignment="1">
      <alignment horizontal="center" vertical="center"/>
    </xf>
    <xf numFmtId="0" fontId="21" fillId="0" borderId="5" xfId="14" applyFont="1" applyBorder="1" applyAlignment="1">
      <alignment horizontal="center" vertical="center"/>
    </xf>
    <xf numFmtId="0" fontId="16" fillId="0" borderId="5" xfId="10" applyFont="1" applyBorder="1" applyAlignment="1">
      <alignment horizontal="center" vertical="center"/>
    </xf>
    <xf numFmtId="0" fontId="21" fillId="0" borderId="25" xfId="14" applyFont="1" applyBorder="1" applyAlignment="1">
      <alignment horizontal="center" vertical="center"/>
    </xf>
    <xf numFmtId="0" fontId="21" fillId="0" borderId="6" xfId="14" applyFont="1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13" fillId="0" borderId="28" xfId="10" applyFont="1" applyBorder="1" applyAlignment="1">
      <alignment horizontal="center" vertical="center" wrapText="1"/>
    </xf>
    <xf numFmtId="0" fontId="13" fillId="0" borderId="35" xfId="10" applyFont="1" applyBorder="1" applyAlignment="1">
      <alignment horizontal="center" vertical="center" wrapText="1"/>
    </xf>
    <xf numFmtId="0" fontId="13" fillId="0" borderId="36" xfId="10" applyFont="1" applyBorder="1" applyAlignment="1">
      <alignment horizontal="center" vertical="center" wrapText="1"/>
    </xf>
    <xf numFmtId="0" fontId="13" fillId="0" borderId="39" xfId="10" applyFont="1" applyBorder="1" applyAlignment="1">
      <alignment horizontal="center" vertical="center" wrapText="1"/>
    </xf>
    <xf numFmtId="0" fontId="13" fillId="0" borderId="31" xfId="10" applyFont="1" applyBorder="1" applyAlignment="1">
      <alignment horizontal="center" vertical="center" wrapText="1"/>
    </xf>
    <xf numFmtId="0" fontId="13" fillId="0" borderId="37" xfId="10" applyFont="1" applyBorder="1" applyAlignment="1">
      <alignment horizontal="center" vertical="center" wrapText="1"/>
    </xf>
    <xf numFmtId="0" fontId="21" fillId="0" borderId="50" xfId="14" applyFont="1" applyBorder="1" applyAlignment="1">
      <alignment horizontal="right" vertical="center"/>
    </xf>
    <xf numFmtId="0" fontId="13" fillId="0" borderId="28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2" fontId="13" fillId="0" borderId="27" xfId="10" applyNumberFormat="1" applyFont="1" applyBorder="1" applyAlignment="1">
      <alignment horizontal="center" vertical="center"/>
    </xf>
    <xf numFmtId="2" fontId="13" fillId="0" borderId="45" xfId="10" applyNumberFormat="1" applyFont="1" applyBorder="1" applyAlignment="1">
      <alignment horizontal="center" vertical="center"/>
    </xf>
    <xf numFmtId="0" fontId="21" fillId="0" borderId="41" xfId="14" applyFont="1" applyBorder="1" applyAlignment="1">
      <alignment horizontal="center" vertical="center" wrapText="1"/>
    </xf>
    <xf numFmtId="0" fontId="21" fillId="0" borderId="24" xfId="14" applyFont="1" applyBorder="1" applyAlignment="1">
      <alignment horizontal="center" vertical="center" wrapText="1"/>
    </xf>
    <xf numFmtId="0" fontId="21" fillId="0" borderId="27" xfId="14" applyFont="1" applyBorder="1" applyAlignment="1">
      <alignment horizontal="center" vertical="center" wrapText="1"/>
    </xf>
    <xf numFmtId="0" fontId="21" fillId="0" borderId="41" xfId="10" applyFont="1" applyBorder="1" applyAlignment="1">
      <alignment horizontal="center" vertical="center" wrapText="1"/>
    </xf>
    <xf numFmtId="0" fontId="21" fillId="0" borderId="44" xfId="10" applyFont="1" applyBorder="1" applyAlignment="1">
      <alignment horizontal="center" vertical="center" wrapText="1"/>
    </xf>
    <xf numFmtId="0" fontId="21" fillId="0" borderId="15" xfId="10" applyFont="1" applyBorder="1" applyAlignment="1">
      <alignment horizontal="center" vertical="center" wrapText="1"/>
    </xf>
    <xf numFmtId="0" fontId="21" fillId="0" borderId="5" xfId="10" applyFont="1" applyBorder="1" applyAlignment="1">
      <alignment horizontal="center" vertical="center" wrapText="1"/>
    </xf>
    <xf numFmtId="0" fontId="21" fillId="0" borderId="12" xfId="10" applyFont="1" applyBorder="1" applyAlignment="1">
      <alignment horizontal="center" vertical="center" wrapText="1"/>
    </xf>
    <xf numFmtId="0" fontId="21" fillId="0" borderId="16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13" xfId="10" applyFont="1" applyBorder="1" applyAlignment="1">
      <alignment horizontal="center" vertical="center" wrapText="1"/>
    </xf>
    <xf numFmtId="0" fontId="21" fillId="0" borderId="27" xfId="10" applyFont="1" applyBorder="1" applyAlignment="1">
      <alignment horizontal="center" vertical="center" wrapText="1"/>
    </xf>
    <xf numFmtId="0" fontId="21" fillId="0" borderId="53" xfId="10" applyFont="1" applyBorder="1" applyAlignment="1">
      <alignment horizontal="center" vertical="center" wrapText="1"/>
    </xf>
    <xf numFmtId="0" fontId="21" fillId="0" borderId="45" xfId="10" applyFont="1" applyBorder="1" applyAlignment="1">
      <alignment horizontal="center" vertical="center" wrapText="1"/>
    </xf>
    <xf numFmtId="0" fontId="13" fillId="0" borderId="4" xfId="14" applyFont="1" applyFill="1" applyBorder="1" applyAlignment="1">
      <alignment horizontal="left" vertical="center"/>
    </xf>
    <xf numFmtId="0" fontId="21" fillId="0" borderId="6" xfId="14" applyFont="1" applyFill="1" applyBorder="1" applyAlignment="1">
      <alignment horizontal="center" vertical="center"/>
    </xf>
    <xf numFmtId="0" fontId="21" fillId="0" borderId="3" xfId="14" applyFont="1" applyFill="1" applyBorder="1" applyAlignment="1">
      <alignment horizontal="center" vertical="center"/>
    </xf>
    <xf numFmtId="0" fontId="21" fillId="0" borderId="9" xfId="14" applyFont="1" applyFill="1" applyBorder="1" applyAlignment="1">
      <alignment horizontal="center" vertical="center"/>
    </xf>
    <xf numFmtId="0" fontId="21" fillId="0" borderId="4" xfId="14" applyFont="1" applyFill="1" applyBorder="1" applyAlignment="1">
      <alignment horizontal="center" vertical="center"/>
    </xf>
    <xf numFmtId="0" fontId="16" fillId="0" borderId="4" xfId="10" applyFont="1" applyFill="1" applyBorder="1" applyAlignment="1">
      <alignment vertical="center"/>
    </xf>
    <xf numFmtId="0" fontId="13" fillId="0" borderId="8" xfId="10" applyFont="1" applyFill="1" applyBorder="1" applyAlignment="1">
      <alignment horizontal="center" vertical="center" wrapText="1"/>
    </xf>
    <xf numFmtId="0" fontId="13" fillId="0" borderId="7" xfId="10" applyFont="1" applyFill="1" applyBorder="1" applyAlignment="1">
      <alignment horizontal="center" vertical="center" wrapText="1"/>
    </xf>
    <xf numFmtId="0" fontId="21" fillId="0" borderId="4" xfId="14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9" fillId="0" borderId="4" xfId="14" applyFont="1" applyBorder="1" applyAlignment="1">
      <alignment horizontal="left" vertical="center" wrapText="1"/>
    </xf>
    <xf numFmtId="0" fontId="9" fillId="0" borderId="6" xfId="14" applyFont="1" applyBorder="1" applyAlignment="1">
      <alignment horizontal="center" vertical="center"/>
    </xf>
    <xf numFmtId="0" fontId="9" fillId="0" borderId="3" xfId="14" applyFont="1" applyBorder="1" applyAlignment="1">
      <alignment horizontal="center" vertical="center"/>
    </xf>
    <xf numFmtId="0" fontId="9" fillId="0" borderId="9" xfId="14" applyFont="1" applyBorder="1" applyAlignment="1">
      <alignment horizontal="center" vertical="center"/>
    </xf>
    <xf numFmtId="0" fontId="26" fillId="0" borderId="4" xfId="14" applyFont="1" applyBorder="1" applyAlignment="1">
      <alignment horizontal="center" vertical="center" wrapText="1"/>
    </xf>
    <xf numFmtId="0" fontId="26" fillId="0" borderId="4" xfId="14" applyFont="1" applyBorder="1" applyAlignment="1">
      <alignment horizontal="center" vertical="center"/>
    </xf>
    <xf numFmtId="0" fontId="26" fillId="0" borderId="8" xfId="10" applyFont="1" applyBorder="1" applyAlignment="1">
      <alignment horizontal="center" vertical="center" wrapText="1"/>
    </xf>
    <xf numFmtId="0" fontId="26" fillId="0" borderId="7" xfId="1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8" fillId="0" borderId="4" xfId="14" applyFont="1" applyBorder="1" applyAlignment="1">
      <alignment horizontal="left" vertical="center" wrapText="1"/>
    </xf>
    <xf numFmtId="0" fontId="16" fillId="0" borderId="6" xfId="14" applyFont="1" applyBorder="1" applyAlignment="1">
      <alignment horizontal="center" vertical="center"/>
    </xf>
    <xf numFmtId="0" fontId="16" fillId="0" borderId="3" xfId="14" applyFont="1" applyBorder="1" applyAlignment="1">
      <alignment horizontal="center" vertical="center"/>
    </xf>
    <xf numFmtId="0" fontId="16" fillId="0" borderId="9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3" fillId="0" borderId="4" xfId="1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6" fillId="0" borderId="4" xfId="10" applyFont="1" applyFill="1" applyBorder="1" applyAlignment="1">
      <alignment horizontal="center" vertical="center" wrapText="1"/>
    </xf>
    <xf numFmtId="0" fontId="16" fillId="0" borderId="4" xfId="10" applyFont="1" applyFill="1" applyBorder="1" applyAlignment="1">
      <alignment horizontal="center" vertical="center"/>
    </xf>
    <xf numFmtId="0" fontId="13" fillId="0" borderId="4" xfId="10" applyFont="1" applyFill="1" applyBorder="1" applyAlignment="1">
      <alignment horizontal="center" vertical="center" wrapText="1"/>
    </xf>
    <xf numFmtId="0" fontId="21" fillId="0" borderId="4" xfId="10" applyFont="1" applyFill="1" applyBorder="1" applyAlignment="1">
      <alignment horizontal="center" vertical="center" wrapText="1"/>
    </xf>
    <xf numFmtId="2" fontId="13" fillId="0" borderId="4" xfId="10" applyNumberFormat="1" applyFont="1" applyFill="1" applyBorder="1" applyAlignment="1">
      <alignment horizontal="center" vertical="center"/>
    </xf>
    <xf numFmtId="0" fontId="33" fillId="0" borderId="0" xfId="10" applyFont="1" applyFill="1" applyBorder="1" applyAlignment="1">
      <alignment horizontal="left" vertical="center" wrapText="1"/>
    </xf>
    <xf numFmtId="0" fontId="21" fillId="0" borderId="18" xfId="68" applyFont="1" applyFill="1" applyBorder="1" applyAlignment="1">
      <alignment horizontal="center" vertical="center"/>
    </xf>
    <xf numFmtId="0" fontId="21" fillId="0" borderId="19" xfId="68" applyFont="1" applyFill="1" applyBorder="1" applyAlignment="1">
      <alignment horizontal="center" vertical="center"/>
    </xf>
    <xf numFmtId="0" fontId="21" fillId="0" borderId="20" xfId="68" applyFont="1" applyFill="1" applyBorder="1" applyAlignment="1">
      <alignment horizontal="center" vertical="center"/>
    </xf>
    <xf numFmtId="0" fontId="21" fillId="0" borderId="16" xfId="68" applyFont="1" applyFill="1" applyBorder="1" applyAlignment="1">
      <alignment horizontal="center" vertical="center" wrapText="1"/>
    </xf>
    <xf numFmtId="0" fontId="21" fillId="0" borderId="17" xfId="68" applyFont="1" applyFill="1" applyBorder="1" applyAlignment="1">
      <alignment horizontal="center" vertical="center" wrapText="1"/>
    </xf>
    <xf numFmtId="0" fontId="21" fillId="0" borderId="28" xfId="68" applyFont="1" applyFill="1" applyBorder="1" applyAlignment="1">
      <alignment horizontal="center" vertical="center"/>
    </xf>
    <xf numFmtId="0" fontId="21" fillId="0" borderId="35" xfId="68" applyFont="1" applyFill="1" applyBorder="1" applyAlignment="1">
      <alignment horizontal="center" vertical="center"/>
    </xf>
    <xf numFmtId="0" fontId="21" fillId="0" borderId="36" xfId="68" applyFont="1" applyFill="1" applyBorder="1" applyAlignment="1">
      <alignment horizontal="center" vertical="center"/>
    </xf>
    <xf numFmtId="0" fontId="21" fillId="0" borderId="5" xfId="68" applyFont="1" applyFill="1" applyBorder="1" applyAlignment="1">
      <alignment horizontal="center" vertical="center" wrapText="1"/>
    </xf>
    <xf numFmtId="0" fontId="21" fillId="0" borderId="12" xfId="68" applyFont="1" applyFill="1" applyBorder="1" applyAlignment="1">
      <alignment horizontal="center" vertical="center" wrapText="1"/>
    </xf>
    <xf numFmtId="0" fontId="21" fillId="0" borderId="4" xfId="68" quotePrefix="1" applyFont="1" applyFill="1" applyBorder="1" applyAlignment="1">
      <alignment horizontal="center" vertical="center" wrapText="1"/>
    </xf>
    <xf numFmtId="0" fontId="21" fillId="0" borderId="13" xfId="68" quotePrefix="1" applyFont="1" applyFill="1" applyBorder="1" applyAlignment="1">
      <alignment horizontal="center" vertical="center" wrapText="1"/>
    </xf>
    <xf numFmtId="0" fontId="21" fillId="0" borderId="4" xfId="68" applyFont="1" applyFill="1" applyBorder="1" applyAlignment="1">
      <alignment horizontal="center" vertical="center" wrapText="1"/>
    </xf>
    <xf numFmtId="0" fontId="21" fillId="0" borderId="13" xfId="68" applyFont="1" applyFill="1" applyBorder="1" applyAlignment="1">
      <alignment horizontal="center" vertical="center" wrapText="1"/>
    </xf>
    <xf numFmtId="0" fontId="21" fillId="0" borderId="11" xfId="68" applyFont="1" applyFill="1" applyBorder="1" applyAlignment="1">
      <alignment horizontal="center" vertical="center" wrapText="1"/>
    </xf>
    <xf numFmtId="0" fontId="21" fillId="0" borderId="15" xfId="68" applyFont="1" applyFill="1" applyBorder="1" applyAlignment="1">
      <alignment horizontal="center" vertical="center" wrapText="1"/>
    </xf>
    <xf numFmtId="0" fontId="21" fillId="0" borderId="16" xfId="68" quotePrefix="1" applyFont="1" applyFill="1" applyBorder="1" applyAlignment="1">
      <alignment horizontal="center" vertical="center" wrapText="1"/>
    </xf>
    <xf numFmtId="0" fontId="21" fillId="0" borderId="21" xfId="68" applyFont="1" applyFill="1" applyBorder="1" applyAlignment="1">
      <alignment horizontal="center" vertical="center" wrapText="1"/>
    </xf>
    <xf numFmtId="0" fontId="21" fillId="0" borderId="8" xfId="68" quotePrefix="1" applyFont="1" applyFill="1" applyBorder="1" applyAlignment="1">
      <alignment horizontal="center" vertical="center" wrapText="1"/>
    </xf>
    <xf numFmtId="0" fontId="21" fillId="0" borderId="8" xfId="68" applyFont="1" applyFill="1" applyBorder="1" applyAlignment="1">
      <alignment horizontal="center" vertical="center" wrapText="1"/>
    </xf>
    <xf numFmtId="0" fontId="21" fillId="0" borderId="8" xfId="14" applyFont="1" applyFill="1" applyBorder="1" applyAlignment="1">
      <alignment horizontal="center" vertical="center" wrapText="1"/>
    </xf>
    <xf numFmtId="0" fontId="21" fillId="0" borderId="10" xfId="14" applyFont="1" applyFill="1" applyBorder="1" applyAlignment="1">
      <alignment horizontal="center" vertical="center" wrapText="1"/>
    </xf>
    <xf numFmtId="0" fontId="16" fillId="0" borderId="7" xfId="10" applyFont="1" applyFill="1" applyBorder="1" applyAlignment="1">
      <alignment horizontal="center" vertical="center" wrapText="1"/>
    </xf>
    <xf numFmtId="0" fontId="21" fillId="0" borderId="0" xfId="14" applyFont="1" applyFill="1" applyAlignment="1">
      <alignment horizontal="right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/>
    </xf>
    <xf numFmtId="0" fontId="21" fillId="0" borderId="0" xfId="14" applyFont="1" applyBorder="1" applyAlignment="1">
      <alignment horizontal="right" vertical="center"/>
    </xf>
    <xf numFmtId="0" fontId="21" fillId="0" borderId="46" xfId="14" applyFont="1" applyBorder="1" applyAlignment="1">
      <alignment horizontal="right" vertical="center"/>
    </xf>
    <xf numFmtId="2" fontId="13" fillId="0" borderId="4" xfId="10" applyNumberFormat="1" applyFont="1" applyBorder="1" applyAlignment="1">
      <alignment horizontal="center" vertical="center"/>
    </xf>
    <xf numFmtId="0" fontId="21" fillId="0" borderId="0" xfId="14" applyFont="1" applyFill="1" applyBorder="1" applyAlignment="1">
      <alignment horizontal="right" vertical="center"/>
    </xf>
    <xf numFmtId="0" fontId="26" fillId="0" borderId="6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 wrapText="1"/>
    </xf>
    <xf numFmtId="0" fontId="26" fillId="0" borderId="0" xfId="0" applyFont="1" applyFill="1" applyAlignment="1">
      <alignment horizontal="left" vertical="center" wrapText="1"/>
    </xf>
    <xf numFmtId="0" fontId="26" fillId="0" borderId="31" xfId="0" applyFont="1" applyFill="1" applyBorder="1" applyAlignment="1">
      <alignment horizontal="left" vertical="center" wrapText="1"/>
    </xf>
    <xf numFmtId="0" fontId="26" fillId="0" borderId="31" xfId="0" applyFont="1" applyFill="1" applyBorder="1" applyAlignment="1">
      <alignment horizontal="right" vertical="top"/>
    </xf>
  </cellXfs>
  <cellStyles count="75">
    <cellStyle name="Body" xfId="1"/>
    <cellStyle name="Comma" xfId="71" builtinId="3"/>
    <cellStyle name="Comma  - Style1" xfId="2"/>
    <cellStyle name="Comma 11 2" xfId="19"/>
    <cellStyle name="Comma 11 2 2" xfId="74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4 2" xfId="68"/>
    <cellStyle name="Normal 14 2 2" xfId="73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" xfId="72" builtinId="5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APEX%20%20Informatio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reshjaosldc.534-A-40-42/Downloads/Depreciation%20FY%202024-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reshjaosldc.534-A-40-42/Desktop/Revenue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WIP STATEMENT"/>
      <sheetName val="FA 2023-24"/>
    </sheetNames>
    <sheetDataSet>
      <sheetData sheetId="0">
        <row r="9">
          <cell r="E9">
            <v>0</v>
          </cell>
        </row>
        <row r="22">
          <cell r="D22">
            <v>84248591.579999998</v>
          </cell>
        </row>
        <row r="23">
          <cell r="D23">
            <v>15875774.42</v>
          </cell>
        </row>
        <row r="24">
          <cell r="D24">
            <v>7946146.8600000003</v>
          </cell>
        </row>
        <row r="25">
          <cell r="D25">
            <v>500000</v>
          </cell>
        </row>
        <row r="26">
          <cell r="D26">
            <v>29072124.290000003</v>
          </cell>
        </row>
        <row r="27">
          <cell r="D27">
            <v>250000</v>
          </cell>
        </row>
        <row r="28">
          <cell r="C28">
            <v>442125350.704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ep FY 2024-25"/>
      <sheetName val="DEP FA BLOCK"/>
    </sheetNames>
    <sheetDataSet>
      <sheetData sheetId="0">
        <row r="31">
          <cell r="C31">
            <v>12281955.529999999</v>
          </cell>
          <cell r="D31">
            <v>446679302.46399999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  <sheetName val="Sheet1 (2)"/>
      <sheetName val="Sheet1"/>
      <sheetName val="Sheet4"/>
      <sheetName val="Sheet5"/>
      <sheetName val="Sheet6"/>
    </sheetNames>
    <sheetDataSet>
      <sheetData sheetId="0"/>
      <sheetData sheetId="1"/>
      <sheetData sheetId="2"/>
      <sheetData sheetId="3"/>
      <sheetData sheetId="4">
        <row r="1">
          <cell r="A1" t="str">
            <v>ARHYAMA SOLAR POWER PVT LTD</v>
          </cell>
          <cell r="B1">
            <v>17735.23</v>
          </cell>
        </row>
        <row r="2">
          <cell r="A2" t="str">
            <v>AXIS CLINICALS PVT LTD</v>
          </cell>
          <cell r="B2">
            <v>5911.74</v>
          </cell>
        </row>
        <row r="3">
          <cell r="A3" t="str">
            <v>BAMBINO PASTA FOOD INDUSTRIES</v>
          </cell>
          <cell r="B3">
            <v>3087.19</v>
          </cell>
        </row>
        <row r="4">
          <cell r="A4" t="str">
            <v>BBR GREEN FIELDS PVT LTD</v>
          </cell>
          <cell r="B4">
            <v>14779.36</v>
          </cell>
        </row>
        <row r="5">
          <cell r="A5" t="str">
            <v>BHAGYANAGAR INDIA LTD</v>
          </cell>
          <cell r="B5">
            <v>11748.75</v>
          </cell>
        </row>
        <row r="6">
          <cell r="A6" t="str">
            <v>BHARAT DYNAMICS LIMITED</v>
          </cell>
          <cell r="B6">
            <v>14827.85</v>
          </cell>
        </row>
        <row r="7">
          <cell r="A7" t="str">
            <v>BHAVANA POWER</v>
          </cell>
          <cell r="B7">
            <v>8867.61</v>
          </cell>
        </row>
        <row r="8">
          <cell r="A8" t="str">
            <v>BHEL (RAMACHANDRAPURAM)</v>
          </cell>
          <cell r="B8">
            <v>4267.1099999999997</v>
          </cell>
        </row>
        <row r="9">
          <cell r="A9" t="str">
            <v>BRAVO ENERGIES PVT LTD</v>
          </cell>
          <cell r="B9">
            <v>1971.92</v>
          </cell>
        </row>
        <row r="10">
          <cell r="A10" t="str">
            <v>BVM ENERGY &amp; RESIDENCY (P) LTD</v>
          </cell>
          <cell r="B10">
            <v>14213.65</v>
          </cell>
        </row>
        <row r="11">
          <cell r="A11" t="str">
            <v>COSMIC POWER SOLUTIONS PVT LTD</v>
          </cell>
          <cell r="B11">
            <v>14779.36</v>
          </cell>
        </row>
        <row r="12">
          <cell r="A12" t="str">
            <v>DRES ENERGY PVT LTD</v>
          </cell>
          <cell r="B12">
            <v>46130.2</v>
          </cell>
        </row>
        <row r="13">
          <cell r="A13" t="str">
            <v>DUBBAK SOLAR PROJECTS PVT. LTD</v>
          </cell>
          <cell r="B13">
            <v>23646.98</v>
          </cell>
        </row>
        <row r="14">
          <cell r="A14" t="str">
            <v>ENERSOL INFRA PVT LTD</v>
          </cell>
          <cell r="B14">
            <v>4718.93</v>
          </cell>
        </row>
        <row r="15">
          <cell r="A15" t="str">
            <v>FUSION SOLAR FARMS PVT LTD</v>
          </cell>
          <cell r="B15">
            <v>11823.49</v>
          </cell>
        </row>
        <row r="16">
          <cell r="A16" t="str">
            <v>HALO ENERGIE PRIVATE LIMITED</v>
          </cell>
          <cell r="B16">
            <v>14779.36</v>
          </cell>
        </row>
        <row r="17">
          <cell r="A17" t="str">
            <v>HERITAGE FOODS LIMITED</v>
          </cell>
          <cell r="B17">
            <v>8867.61</v>
          </cell>
        </row>
        <row r="18">
          <cell r="A18" t="str">
            <v>HYDERABAD CHEMICAL PRODUCTS</v>
          </cell>
          <cell r="B18">
            <v>5200.78</v>
          </cell>
        </row>
        <row r="19">
          <cell r="A19" t="str">
            <v>HYDERABAD INSTITUTE OF ONCOLOGY PVT</v>
          </cell>
          <cell r="B19">
            <v>1939.59</v>
          </cell>
        </row>
        <row r="20">
          <cell r="A20" t="str">
            <v>INDIAN ENERGY EXCHANGE LIMITED (IEX</v>
          </cell>
          <cell r="B20">
            <v>12492.32</v>
          </cell>
        </row>
        <row r="21">
          <cell r="A21" t="str">
            <v>INDO NATIONAL LTD</v>
          </cell>
          <cell r="B21">
            <v>8031.19</v>
          </cell>
        </row>
        <row r="22">
          <cell r="A22" t="str">
            <v>INFOSYS LTD</v>
          </cell>
          <cell r="B22">
            <v>20691.11</v>
          </cell>
        </row>
        <row r="23">
          <cell r="A23" t="str">
            <v>JAYA BHARAT</v>
          </cell>
          <cell r="B23">
            <v>2955.87</v>
          </cell>
        </row>
        <row r="24">
          <cell r="A24" t="str">
            <v>MEDAK SOLAR PROJECTS PVT. LTD.</v>
          </cell>
          <cell r="B24">
            <v>26602.85</v>
          </cell>
        </row>
        <row r="25">
          <cell r="A25" t="str">
            <v>MISHRA DHATU NIGAM LTD</v>
          </cell>
          <cell r="B25">
            <v>5463.19</v>
          </cell>
        </row>
        <row r="26">
          <cell r="A26" t="str">
            <v>NATEMS POWER PVT LTD</v>
          </cell>
          <cell r="B26">
            <v>10374.870000000001</v>
          </cell>
        </row>
        <row r="27">
          <cell r="A27" t="str">
            <v>NVNR (RAMANNAPET I) PVT. LTD.</v>
          </cell>
          <cell r="B27">
            <v>44338.080000000002</v>
          </cell>
        </row>
        <row r="28">
          <cell r="A28" t="str">
            <v>NVNR (RAMANNAPET II) SOLAR POWER</v>
          </cell>
          <cell r="B28">
            <v>44338.080000000002</v>
          </cell>
        </row>
        <row r="29">
          <cell r="A29" t="str">
            <v>PENNAR</v>
          </cell>
          <cell r="B29">
            <v>8867.61</v>
          </cell>
        </row>
        <row r="30">
          <cell r="A30" t="str">
            <v>PRAGATHI GROUP</v>
          </cell>
          <cell r="B30">
            <v>26602.85</v>
          </cell>
        </row>
        <row r="31">
          <cell r="A31" t="str">
            <v>PRERITUS CORPORATION PVT LTD</v>
          </cell>
          <cell r="B31">
            <v>5911.74</v>
          </cell>
        </row>
        <row r="32">
          <cell r="A32" t="str">
            <v>REPAL GREEN POWER PVT. LTD.</v>
          </cell>
          <cell r="B32">
            <v>29558.720000000001</v>
          </cell>
        </row>
        <row r="33">
          <cell r="A33" t="str">
            <v>RMR SOLAR ENERGY PVT LTD</v>
          </cell>
          <cell r="B33">
            <v>5911.74</v>
          </cell>
        </row>
        <row r="34">
          <cell r="A34" t="str">
            <v>ROCKHOPPER RENEWABLES INDIA PVT LTD</v>
          </cell>
          <cell r="B34">
            <v>20691.11</v>
          </cell>
        </row>
        <row r="35">
          <cell r="A35" t="str">
            <v>SAI ADITHYA GREEN ENERGY PVT LTD</v>
          </cell>
          <cell r="B35">
            <v>2899.45</v>
          </cell>
        </row>
        <row r="36">
          <cell r="A36" t="str">
            <v>SAI DEEPA ROCK DRILLS PVT LTD</v>
          </cell>
          <cell r="B36">
            <v>5911.74</v>
          </cell>
        </row>
        <row r="37">
          <cell r="A37" t="str">
            <v>SARVOTHAM CARE</v>
          </cell>
          <cell r="B37">
            <v>8867.61</v>
          </cell>
        </row>
        <row r="38">
          <cell r="A38" t="str">
            <v>SEI SRIRAM POWER PVT. LTD.</v>
          </cell>
          <cell r="B38">
            <v>59117.440000000002</v>
          </cell>
        </row>
        <row r="39">
          <cell r="A39" t="str">
            <v>SNEHA RENEWABLE ENERGIES LTD</v>
          </cell>
          <cell r="B39">
            <v>1721.39</v>
          </cell>
        </row>
        <row r="40">
          <cell r="A40" t="str">
            <v>SOLNOVA POWER PVT LTD</v>
          </cell>
          <cell r="B40">
            <v>14779.36</v>
          </cell>
        </row>
        <row r="41">
          <cell r="A41" t="str">
            <v>SRI LAKSHMI GANAPATHY INDUSTRIES</v>
          </cell>
          <cell r="B41">
            <v>5911.74</v>
          </cell>
        </row>
        <row r="42">
          <cell r="A42" t="str">
            <v>SRI SURYANARAYANA SWAMY SOLAR POWER</v>
          </cell>
          <cell r="B42">
            <v>8867.61</v>
          </cell>
        </row>
        <row r="43">
          <cell r="A43" t="str">
            <v>Sri. G.Prashanth Narayan</v>
          </cell>
          <cell r="B43">
            <v>9900.01</v>
          </cell>
        </row>
        <row r="44">
          <cell r="A44" t="str">
            <v>SRINIVASA GREEN ENERGIES PVT LTD</v>
          </cell>
          <cell r="B44">
            <v>4638.33</v>
          </cell>
        </row>
        <row r="45">
          <cell r="A45" t="str">
            <v>SURANA SOLAR SYSTEMS PVT LTD</v>
          </cell>
          <cell r="B45">
            <v>14536.91</v>
          </cell>
        </row>
        <row r="46">
          <cell r="A46" t="str">
            <v>SURYANANDAN TEXTURIZERS PVT. LTD.</v>
          </cell>
          <cell r="B46">
            <v>2955.87</v>
          </cell>
        </row>
        <row r="47">
          <cell r="A47" t="str">
            <v>TGNPDCL</v>
          </cell>
          <cell r="B47">
            <v>19881652.120000001</v>
          </cell>
        </row>
        <row r="48">
          <cell r="A48" t="str">
            <v>TGSPDCL</v>
          </cell>
          <cell r="B48">
            <v>47651068.710000001</v>
          </cell>
        </row>
        <row r="49">
          <cell r="A49" t="str">
            <v>THE REGISTRAR, JNTUH</v>
          </cell>
          <cell r="B49">
            <v>11823.49</v>
          </cell>
        </row>
        <row r="50">
          <cell r="A50" t="str">
            <v>THE SINGARENI COLLERIES COMPANY LTD</v>
          </cell>
          <cell r="B50">
            <v>615815.43999999994</v>
          </cell>
        </row>
        <row r="51">
          <cell r="A51" t="str">
            <v>TROPICAL FLAVOURS PVT LTD</v>
          </cell>
          <cell r="B51">
            <v>6608.18</v>
          </cell>
        </row>
        <row r="52">
          <cell r="A52" t="str">
            <v>USHODAYA ENTERPRISES PVT LTD</v>
          </cell>
          <cell r="B52">
            <v>29558.720000000001</v>
          </cell>
        </row>
        <row r="53">
          <cell r="A53" t="str">
            <v>VALENS</v>
          </cell>
          <cell r="B53">
            <v>5076.1499999999996</v>
          </cell>
        </row>
        <row r="54">
          <cell r="A54" t="str">
            <v>VALUELABS LLP</v>
          </cell>
          <cell r="B54">
            <v>22418.57</v>
          </cell>
        </row>
        <row r="55">
          <cell r="A55" t="str">
            <v>VARP POWER PVT. LTD.</v>
          </cell>
          <cell r="B55">
            <v>2519.46</v>
          </cell>
        </row>
        <row r="56">
          <cell r="A56" t="str">
            <v>VISAKA INDUSTRIES LTD</v>
          </cell>
          <cell r="B56">
            <v>8867.61</v>
          </cell>
        </row>
        <row r="57">
          <cell r="B57">
            <v>68877643.949999988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10"/>
  <sheetViews>
    <sheetView showGridLines="0" workbookViewId="0">
      <selection activeCell="O11" sqref="O11"/>
    </sheetView>
  </sheetViews>
  <sheetFormatPr defaultRowHeight="14.25"/>
  <cols>
    <col min="1" max="16384" width="9.140625" style="45"/>
  </cols>
  <sheetData>
    <row r="10" spans="7:7" ht="23.25">
      <c r="G10" s="53" t="s">
        <v>228</v>
      </c>
    </row>
  </sheetData>
  <pageMargins left="0.70866141732283472" right="0.70866141732283472" top="0.51181102362204722" bottom="0.74803149606299213" header="0.31496062992125984" footer="0.31496062992125984"/>
  <pageSetup paperSize="9" scale="6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B1:T36"/>
  <sheetViews>
    <sheetView showGridLines="0" view="pageBreakPreview" zoomScale="90" zoomScaleNormal="90" zoomScaleSheetLayoutView="90" workbookViewId="0">
      <selection activeCell="O9" sqref="O9"/>
    </sheetView>
  </sheetViews>
  <sheetFormatPr defaultColWidth="16.85546875" defaultRowHeight="14.25"/>
  <cols>
    <col min="1" max="1" width="8.42578125" style="133" customWidth="1"/>
    <col min="2" max="2" width="6.140625" style="133" customWidth="1"/>
    <col min="3" max="3" width="40.42578125" style="133" customWidth="1"/>
    <col min="4" max="4" width="11" style="133" customWidth="1"/>
    <col min="5" max="5" width="9.85546875" style="133" customWidth="1"/>
    <col min="6" max="6" width="10.85546875" style="133" customWidth="1"/>
    <col min="7" max="7" width="11.28515625" style="133" customWidth="1"/>
    <col min="8" max="8" width="10.28515625" style="133" customWidth="1"/>
    <col min="9" max="9" width="14.140625" style="133" customWidth="1"/>
    <col min="10" max="12" width="13.7109375" style="133" customWidth="1"/>
    <col min="13" max="13" width="11.28515625" style="133" customWidth="1"/>
    <col min="14" max="14" width="10.7109375" style="317" customWidth="1"/>
    <col min="15" max="16384" width="16.85546875" style="133"/>
  </cols>
  <sheetData>
    <row r="1" spans="2:20" ht="15">
      <c r="B1" s="333"/>
      <c r="E1" s="134" t="s">
        <v>218</v>
      </c>
      <c r="F1" s="134"/>
      <c r="G1" s="134"/>
      <c r="N1" s="336"/>
    </row>
    <row r="2" spans="2:20" ht="15">
      <c r="E2" s="136" t="s">
        <v>168</v>
      </c>
      <c r="F2" s="136"/>
      <c r="G2" s="136"/>
      <c r="N2" s="336"/>
    </row>
    <row r="3" spans="2:20" ht="15">
      <c r="B3" s="134" t="s">
        <v>35</v>
      </c>
      <c r="C3" s="333" t="s">
        <v>169</v>
      </c>
      <c r="D3" s="333"/>
      <c r="E3" s="337"/>
      <c r="F3" s="337"/>
      <c r="G3" s="337"/>
      <c r="H3" s="337"/>
      <c r="I3" s="337"/>
      <c r="N3" s="336"/>
      <c r="O3" s="337"/>
      <c r="P3" s="337"/>
      <c r="Q3" s="337"/>
    </row>
    <row r="4" spans="2:20" ht="15">
      <c r="C4" s="488" t="s">
        <v>3</v>
      </c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T4" s="137" t="s">
        <v>3</v>
      </c>
    </row>
    <row r="5" spans="2:20" s="62" customFormat="1" ht="15" customHeight="1">
      <c r="B5" s="437" t="s">
        <v>126</v>
      </c>
      <c r="C5" s="433" t="s">
        <v>14</v>
      </c>
      <c r="D5" s="461" t="s">
        <v>232</v>
      </c>
      <c r="E5" s="461"/>
      <c r="F5" s="461"/>
      <c r="G5" s="437" t="s">
        <v>230</v>
      </c>
      <c r="H5" s="437"/>
      <c r="I5" s="437"/>
      <c r="J5" s="437"/>
      <c r="K5" s="437"/>
      <c r="L5" s="458" t="s">
        <v>231</v>
      </c>
      <c r="M5" s="458"/>
      <c r="N5" s="458"/>
      <c r="O5" s="135"/>
      <c r="P5" s="135"/>
      <c r="Q5" s="135"/>
      <c r="R5" s="135"/>
      <c r="S5" s="135"/>
      <c r="T5" s="135"/>
    </row>
    <row r="6" spans="2:20" s="62" customFormat="1" ht="15" customHeight="1">
      <c r="B6" s="437"/>
      <c r="C6" s="433"/>
      <c r="D6" s="461"/>
      <c r="E6" s="461"/>
      <c r="F6" s="461"/>
      <c r="G6" s="462" t="s">
        <v>343</v>
      </c>
      <c r="H6" s="320" t="s">
        <v>139</v>
      </c>
      <c r="I6" s="320" t="s">
        <v>140</v>
      </c>
      <c r="J6" s="320" t="s">
        <v>143</v>
      </c>
      <c r="K6" s="463" t="s">
        <v>341</v>
      </c>
      <c r="L6" s="458"/>
      <c r="M6" s="458"/>
      <c r="N6" s="458"/>
      <c r="O6" s="135"/>
      <c r="P6" s="135"/>
      <c r="Q6" s="135"/>
      <c r="R6" s="135"/>
      <c r="S6" s="135"/>
      <c r="T6" s="135"/>
    </row>
    <row r="7" spans="2:20" s="62" customFormat="1" ht="30">
      <c r="B7" s="459"/>
      <c r="C7" s="460"/>
      <c r="D7" s="322" t="s">
        <v>342</v>
      </c>
      <c r="E7" s="324" t="s">
        <v>2</v>
      </c>
      <c r="F7" s="324" t="s">
        <v>341</v>
      </c>
      <c r="G7" s="462"/>
      <c r="H7" s="324" t="s">
        <v>2</v>
      </c>
      <c r="I7" s="324" t="s">
        <v>4</v>
      </c>
      <c r="J7" s="324" t="s">
        <v>4</v>
      </c>
      <c r="K7" s="463"/>
      <c r="L7" s="322" t="s">
        <v>343</v>
      </c>
      <c r="M7" s="320" t="s">
        <v>7</v>
      </c>
      <c r="N7" s="324" t="s">
        <v>341</v>
      </c>
      <c r="O7" s="135"/>
      <c r="P7" s="135"/>
      <c r="Q7" s="135"/>
      <c r="R7" s="135"/>
      <c r="S7" s="135"/>
      <c r="T7" s="135"/>
    </row>
    <row r="8" spans="2:20" ht="15.75" customHeight="1">
      <c r="B8" s="326">
        <v>1</v>
      </c>
      <c r="C8" s="317" t="s">
        <v>114</v>
      </c>
      <c r="D8" s="338" t="s">
        <v>243</v>
      </c>
      <c r="E8" s="338" t="s">
        <v>243</v>
      </c>
      <c r="F8" s="338" t="s">
        <v>243</v>
      </c>
      <c r="G8" s="132">
        <v>6.55</v>
      </c>
      <c r="H8" s="338" t="s">
        <v>243</v>
      </c>
      <c r="I8" s="132">
        <f>+'F4'!F24*75%</f>
        <v>21.037177631999999</v>
      </c>
      <c r="J8" s="132">
        <f>I8</f>
        <v>21.037177631999999</v>
      </c>
      <c r="K8" s="132">
        <f>J8-G8</f>
        <v>14.487177631999998</v>
      </c>
      <c r="L8" s="132">
        <v>10.78</v>
      </c>
      <c r="M8" s="132">
        <f>J15</f>
        <v>21.059677632</v>
      </c>
      <c r="N8" s="339">
        <f>M8-L8</f>
        <v>10.279677632</v>
      </c>
      <c r="O8" s="135"/>
      <c r="P8" s="135"/>
      <c r="Q8" s="135"/>
      <c r="R8" s="135"/>
      <c r="S8" s="135"/>
      <c r="T8" s="135"/>
    </row>
    <row r="9" spans="2:20" ht="15">
      <c r="B9" s="326">
        <f>B8+1</f>
        <v>2</v>
      </c>
      <c r="C9" s="317" t="s">
        <v>115</v>
      </c>
      <c r="D9" s="338" t="s">
        <v>243</v>
      </c>
      <c r="E9" s="338" t="s">
        <v>243</v>
      </c>
      <c r="F9" s="338" t="s">
        <v>243</v>
      </c>
      <c r="G9" s="132">
        <v>0</v>
      </c>
      <c r="H9" s="338" t="s">
        <v>243</v>
      </c>
      <c r="I9" s="132">
        <f>'F4'!J24*75%</f>
        <v>10.3572560025</v>
      </c>
      <c r="J9" s="132">
        <f t="shared" ref="J9:J20" si="0">I9</f>
        <v>10.3572560025</v>
      </c>
      <c r="K9" s="132">
        <f t="shared" ref="K9:K14" si="1">J9-G9</f>
        <v>10.3572560025</v>
      </c>
      <c r="L9" s="132">
        <v>0</v>
      </c>
      <c r="M9" s="132">
        <f>J9+J13</f>
        <v>13.0635321073</v>
      </c>
      <c r="N9" s="339">
        <f t="shared" ref="N9:N20" si="2">M9-L9</f>
        <v>13.0635321073</v>
      </c>
      <c r="O9" s="135"/>
      <c r="P9" s="135"/>
      <c r="Q9" s="135"/>
      <c r="R9" s="135"/>
      <c r="S9" s="135"/>
      <c r="T9" s="135"/>
    </row>
    <row r="10" spans="2:20" ht="15.75">
      <c r="B10" s="326">
        <f t="shared" ref="B10:B20" si="3">B9+1</f>
        <v>3</v>
      </c>
      <c r="C10" s="328" t="s">
        <v>116</v>
      </c>
      <c r="D10" s="323" t="s">
        <v>243</v>
      </c>
      <c r="E10" s="323" t="s">
        <v>243</v>
      </c>
      <c r="F10" s="323" t="s">
        <v>243</v>
      </c>
      <c r="G10" s="324">
        <f>+G8-G9</f>
        <v>6.55</v>
      </c>
      <c r="H10" s="323" t="s">
        <v>243</v>
      </c>
      <c r="I10" s="324">
        <f>I8-I9</f>
        <v>10.679921629499999</v>
      </c>
      <c r="J10" s="324">
        <f t="shared" si="0"/>
        <v>10.679921629499999</v>
      </c>
      <c r="K10" s="132">
        <f t="shared" si="1"/>
        <v>4.1299216294999992</v>
      </c>
      <c r="L10" s="324">
        <v>10.78</v>
      </c>
      <c r="M10" s="324">
        <f>M8-M9</f>
        <v>7.9961455246999993</v>
      </c>
      <c r="N10" s="340">
        <f t="shared" si="2"/>
        <v>-2.7838544753000001</v>
      </c>
      <c r="O10" s="135"/>
      <c r="P10" s="135"/>
      <c r="Q10" s="135"/>
      <c r="R10" s="135"/>
      <c r="S10" s="135"/>
      <c r="T10" s="135"/>
    </row>
    <row r="11" spans="2:20" ht="28.5">
      <c r="B11" s="326">
        <f t="shared" si="3"/>
        <v>4</v>
      </c>
      <c r="C11" s="341" t="s">
        <v>117</v>
      </c>
      <c r="D11" s="338" t="s">
        <v>243</v>
      </c>
      <c r="E11" s="338" t="s">
        <v>243</v>
      </c>
      <c r="F11" s="338" t="s">
        <v>243</v>
      </c>
      <c r="G11" s="132">
        <v>0</v>
      </c>
      <c r="H11" s="338" t="s">
        <v>243</v>
      </c>
      <c r="I11" s="132">
        <v>0</v>
      </c>
      <c r="J11" s="132">
        <f t="shared" si="0"/>
        <v>0</v>
      </c>
      <c r="K11" s="132">
        <f t="shared" si="1"/>
        <v>0</v>
      </c>
      <c r="L11" s="132">
        <v>0</v>
      </c>
      <c r="M11" s="132">
        <v>0</v>
      </c>
      <c r="N11" s="339">
        <f t="shared" si="2"/>
        <v>0</v>
      </c>
      <c r="O11" s="135"/>
      <c r="P11" s="135"/>
      <c r="Q11" s="135"/>
      <c r="R11" s="135"/>
      <c r="S11" s="135"/>
      <c r="T11" s="135"/>
    </row>
    <row r="12" spans="2:20" s="154" customFormat="1" ht="28.5">
      <c r="B12" s="326">
        <f t="shared" si="3"/>
        <v>5</v>
      </c>
      <c r="C12" s="342" t="s">
        <v>129</v>
      </c>
      <c r="D12" s="338" t="s">
        <v>243</v>
      </c>
      <c r="E12" s="338" t="s">
        <v>243</v>
      </c>
      <c r="F12" s="338" t="s">
        <v>243</v>
      </c>
      <c r="G12" s="132">
        <v>5.64</v>
      </c>
      <c r="H12" s="338" t="s">
        <v>243</v>
      </c>
      <c r="I12" s="132">
        <f>'F4'!G24*75%</f>
        <v>2.2499999999999999E-2</v>
      </c>
      <c r="J12" s="132">
        <f t="shared" si="0"/>
        <v>2.2499999999999999E-2</v>
      </c>
      <c r="K12" s="132">
        <f t="shared" si="1"/>
        <v>-5.6174999999999997</v>
      </c>
      <c r="L12" s="132">
        <v>46.82</v>
      </c>
      <c r="M12" s="132">
        <f>'F4'!G37*75%</f>
        <v>10.341947786250001</v>
      </c>
      <c r="N12" s="339">
        <f t="shared" si="2"/>
        <v>-36.478052213749997</v>
      </c>
      <c r="O12" s="135"/>
      <c r="P12" s="135"/>
      <c r="Q12" s="135"/>
      <c r="R12" s="135"/>
      <c r="S12" s="135"/>
      <c r="T12" s="135"/>
    </row>
    <row r="13" spans="2:20" ht="28.5">
      <c r="B13" s="326">
        <f t="shared" si="3"/>
        <v>6</v>
      </c>
      <c r="C13" s="341" t="s">
        <v>122</v>
      </c>
      <c r="D13" s="338" t="s">
        <v>243</v>
      </c>
      <c r="E13" s="338" t="s">
        <v>243</v>
      </c>
      <c r="F13" s="338" t="s">
        <v>243</v>
      </c>
      <c r="G13" s="132">
        <v>1.41</v>
      </c>
      <c r="H13" s="338" t="s">
        <v>243</v>
      </c>
      <c r="I13" s="132">
        <f>'F4'!K24</f>
        <v>2.7062761048000001</v>
      </c>
      <c r="J13" s="132">
        <f t="shared" si="0"/>
        <v>2.7062761048000001</v>
      </c>
      <c r="K13" s="132">
        <f t="shared" si="1"/>
        <v>1.2962761048000002</v>
      </c>
      <c r="L13" s="132">
        <v>6.83</v>
      </c>
      <c r="M13" s="132">
        <f>'F4'!K37</f>
        <v>3.5238289893255996</v>
      </c>
      <c r="N13" s="339">
        <f t="shared" si="2"/>
        <v>-3.3061710106744004</v>
      </c>
      <c r="O13" s="135"/>
      <c r="P13" s="135"/>
      <c r="Q13" s="135"/>
      <c r="R13" s="135"/>
      <c r="S13" s="135"/>
      <c r="T13" s="135"/>
    </row>
    <row r="14" spans="2:20" ht="15.75">
      <c r="B14" s="326">
        <f t="shared" si="3"/>
        <v>7</v>
      </c>
      <c r="C14" s="317" t="s">
        <v>118</v>
      </c>
      <c r="D14" s="323" t="s">
        <v>243</v>
      </c>
      <c r="E14" s="323" t="s">
        <v>243</v>
      </c>
      <c r="F14" s="323" t="s">
        <v>243</v>
      </c>
      <c r="G14" s="324">
        <f>+G8+G12-G13</f>
        <v>10.78</v>
      </c>
      <c r="H14" s="323" t="s">
        <v>243</v>
      </c>
      <c r="I14" s="324">
        <f>I10+I12-I13-0.01</f>
        <v>7.9861455246999995</v>
      </c>
      <c r="J14" s="324">
        <f t="shared" si="0"/>
        <v>7.9861455246999995</v>
      </c>
      <c r="K14" s="132">
        <f t="shared" si="1"/>
        <v>-2.7938544752999999</v>
      </c>
      <c r="L14" s="324">
        <v>50.77</v>
      </c>
      <c r="M14" s="324">
        <f>M10+M12-M13</f>
        <v>14.814264321624401</v>
      </c>
      <c r="N14" s="340">
        <f t="shared" si="2"/>
        <v>-35.955735678375603</v>
      </c>
      <c r="O14" s="135"/>
      <c r="P14" s="135"/>
      <c r="Q14" s="135"/>
      <c r="R14" s="135"/>
      <c r="S14" s="135"/>
      <c r="T14" s="135"/>
    </row>
    <row r="15" spans="2:20" ht="15">
      <c r="B15" s="326">
        <f t="shared" si="3"/>
        <v>8</v>
      </c>
      <c r="C15" s="317" t="s">
        <v>119</v>
      </c>
      <c r="D15" s="338" t="s">
        <v>243</v>
      </c>
      <c r="E15" s="338" t="s">
        <v>243</v>
      </c>
      <c r="F15" s="338" t="s">
        <v>243</v>
      </c>
      <c r="G15" s="132">
        <f>G8+G12</f>
        <v>12.19</v>
      </c>
      <c r="H15" s="338" t="s">
        <v>243</v>
      </c>
      <c r="I15" s="132">
        <f>I8+I12</f>
        <v>21.059677632</v>
      </c>
      <c r="J15" s="132">
        <f t="shared" si="0"/>
        <v>21.059677632</v>
      </c>
      <c r="K15" s="132">
        <f>J15-G16</f>
        <v>12.394677632000001</v>
      </c>
      <c r="L15" s="132">
        <f>L8+L12+0.01</f>
        <v>57.61</v>
      </c>
      <c r="M15" s="132">
        <f>M8+M12+0.01</f>
        <v>31.411625418250001</v>
      </c>
      <c r="N15" s="339">
        <f t="shared" si="2"/>
        <v>-26.198374581749999</v>
      </c>
      <c r="O15" s="135"/>
      <c r="P15" s="135"/>
      <c r="Q15" s="135"/>
      <c r="R15" s="135"/>
      <c r="S15" s="135"/>
      <c r="T15" s="135"/>
    </row>
    <row r="16" spans="2:20" ht="15">
      <c r="B16" s="326">
        <f t="shared" si="3"/>
        <v>9</v>
      </c>
      <c r="C16" s="317" t="s">
        <v>131</v>
      </c>
      <c r="D16" s="338" t="s">
        <v>243</v>
      </c>
      <c r="E16" s="338" t="s">
        <v>243</v>
      </c>
      <c r="F16" s="338" t="s">
        <v>243</v>
      </c>
      <c r="G16" s="132">
        <f>(G8+G14)/2</f>
        <v>8.6649999999999991</v>
      </c>
      <c r="H16" s="338" t="s">
        <v>243</v>
      </c>
      <c r="I16" s="132">
        <f>(I10+I14)/2</f>
        <v>9.3330335771000001</v>
      </c>
      <c r="J16" s="132">
        <f t="shared" si="0"/>
        <v>9.3330335771000001</v>
      </c>
      <c r="K16" s="132">
        <f>+J16-G16</f>
        <v>0.668033577100001</v>
      </c>
      <c r="L16" s="132">
        <f>(L8+L14)/2</f>
        <v>30.775000000000002</v>
      </c>
      <c r="M16" s="132">
        <f>(M10+M14)/2</f>
        <v>11.4052049231622</v>
      </c>
      <c r="N16" s="339">
        <f t="shared" si="2"/>
        <v>-19.369795076837804</v>
      </c>
      <c r="O16" s="135"/>
      <c r="P16" s="135"/>
      <c r="Q16" s="135"/>
      <c r="R16" s="135"/>
      <c r="S16" s="135"/>
      <c r="T16" s="135"/>
    </row>
    <row r="17" spans="2:20" ht="28.5">
      <c r="B17" s="326">
        <f t="shared" si="3"/>
        <v>10</v>
      </c>
      <c r="C17" s="341" t="s">
        <v>130</v>
      </c>
      <c r="D17" s="338" t="s">
        <v>243</v>
      </c>
      <c r="E17" s="338" t="s">
        <v>243</v>
      </c>
      <c r="F17" s="338" t="s">
        <v>243</v>
      </c>
      <c r="G17" s="343">
        <v>9.6000000000000002E-2</v>
      </c>
      <c r="H17" s="338" t="s">
        <v>243</v>
      </c>
      <c r="I17" s="343">
        <v>9.6000000000000002E-2</v>
      </c>
      <c r="J17" s="343">
        <v>9.6000000000000002E-2</v>
      </c>
      <c r="K17" s="343">
        <v>9.6000000000000002E-2</v>
      </c>
      <c r="L17" s="343">
        <v>9.6000000000000002E-2</v>
      </c>
      <c r="M17" s="343">
        <v>9.6000000000000002E-2</v>
      </c>
      <c r="N17" s="343">
        <v>9.6000000000000002E-2</v>
      </c>
      <c r="O17" s="135"/>
      <c r="P17" s="135"/>
      <c r="Q17" s="135"/>
      <c r="R17" s="135"/>
      <c r="S17" s="135"/>
      <c r="T17" s="135"/>
    </row>
    <row r="18" spans="2:20" ht="15">
      <c r="B18" s="326">
        <f t="shared" si="3"/>
        <v>11</v>
      </c>
      <c r="C18" s="317" t="s">
        <v>170</v>
      </c>
      <c r="D18" s="338" t="s">
        <v>243</v>
      </c>
      <c r="E18" s="338" t="s">
        <v>243</v>
      </c>
      <c r="F18" s="338" t="s">
        <v>243</v>
      </c>
      <c r="G18" s="132">
        <f>+G16*G17</f>
        <v>0.83183999999999991</v>
      </c>
      <c r="H18" s="338" t="s">
        <v>243</v>
      </c>
      <c r="I18" s="132">
        <f>I16*I17</f>
        <v>0.89597122340160007</v>
      </c>
      <c r="J18" s="132">
        <f t="shared" si="0"/>
        <v>0.89597122340160007</v>
      </c>
      <c r="K18" s="132">
        <f>+J18-G18</f>
        <v>6.4131223401600157E-2</v>
      </c>
      <c r="L18" s="132">
        <f>L16*L17</f>
        <v>2.9544000000000001</v>
      </c>
      <c r="M18" s="132">
        <f>M16*M17</f>
        <v>1.0948996726235714</v>
      </c>
      <c r="N18" s="339">
        <f t="shared" si="2"/>
        <v>-1.8595003273764288</v>
      </c>
      <c r="O18" s="135"/>
      <c r="P18" s="135"/>
      <c r="Q18" s="135"/>
      <c r="R18" s="135"/>
      <c r="S18" s="135"/>
      <c r="T18" s="135"/>
    </row>
    <row r="19" spans="2:20" ht="15">
      <c r="B19" s="326">
        <f t="shared" si="3"/>
        <v>12</v>
      </c>
      <c r="C19" s="317" t="s">
        <v>172</v>
      </c>
      <c r="D19" s="338" t="s">
        <v>243</v>
      </c>
      <c r="E19" s="338" t="s">
        <v>243</v>
      </c>
      <c r="F19" s="338" t="s">
        <v>243</v>
      </c>
      <c r="G19" s="132">
        <v>0</v>
      </c>
      <c r="H19" s="338" t="s">
        <v>243</v>
      </c>
      <c r="I19" s="132">
        <v>0</v>
      </c>
      <c r="J19" s="132">
        <f t="shared" si="0"/>
        <v>0</v>
      </c>
      <c r="K19" s="132">
        <f>+J19-G19</f>
        <v>0</v>
      </c>
      <c r="L19" s="132">
        <v>0</v>
      </c>
      <c r="M19" s="132">
        <v>0</v>
      </c>
      <c r="N19" s="339">
        <f t="shared" si="2"/>
        <v>0</v>
      </c>
      <c r="O19" s="135"/>
      <c r="P19" s="135"/>
      <c r="Q19" s="135"/>
      <c r="R19" s="135"/>
      <c r="S19" s="135"/>
      <c r="T19" s="135"/>
    </row>
    <row r="20" spans="2:20" ht="15.75">
      <c r="B20" s="326">
        <f t="shared" si="3"/>
        <v>13</v>
      </c>
      <c r="C20" s="317" t="s">
        <v>173</v>
      </c>
      <c r="D20" s="323" t="s">
        <v>243</v>
      </c>
      <c r="E20" s="323" t="s">
        <v>243</v>
      </c>
      <c r="F20" s="323" t="s">
        <v>243</v>
      </c>
      <c r="G20" s="324">
        <f>+G16*G17</f>
        <v>0.83183999999999991</v>
      </c>
      <c r="H20" s="323" t="s">
        <v>243</v>
      </c>
      <c r="I20" s="324">
        <f>I18+I19</f>
        <v>0.89597122340160007</v>
      </c>
      <c r="J20" s="324">
        <f t="shared" si="0"/>
        <v>0.89597122340160007</v>
      </c>
      <c r="K20" s="324">
        <f>+J20-G20</f>
        <v>6.4131223401600157E-2</v>
      </c>
      <c r="L20" s="324">
        <v>2.95</v>
      </c>
      <c r="M20" s="324">
        <f>M18+M19</f>
        <v>1.0948996726235714</v>
      </c>
      <c r="N20" s="340">
        <f t="shared" si="2"/>
        <v>-1.8551003273764288</v>
      </c>
      <c r="O20" s="344"/>
      <c r="P20" s="135"/>
      <c r="Q20" s="135"/>
      <c r="R20" s="135"/>
      <c r="S20" s="135"/>
      <c r="T20" s="135"/>
    </row>
    <row r="21" spans="2:20" ht="9.75" customHeight="1"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139"/>
    </row>
    <row r="22" spans="2:20" ht="15">
      <c r="B22" s="134" t="s">
        <v>36</v>
      </c>
      <c r="C22" s="333" t="s">
        <v>171</v>
      </c>
      <c r="D22" s="333"/>
      <c r="N22" s="135"/>
    </row>
    <row r="23" spans="2:20" ht="0.75" customHeight="1">
      <c r="Q23" s="137" t="s">
        <v>3</v>
      </c>
    </row>
    <row r="24" spans="2:20" ht="15" customHeight="1">
      <c r="B24" s="485" t="s">
        <v>126</v>
      </c>
      <c r="C24" s="433" t="s">
        <v>14</v>
      </c>
      <c r="D24" s="345"/>
      <c r="E24" s="435" t="s">
        <v>232</v>
      </c>
      <c r="F24" s="318"/>
      <c r="G24" s="318"/>
      <c r="H24" s="437" t="s">
        <v>230</v>
      </c>
      <c r="I24" s="437"/>
      <c r="J24" s="437"/>
      <c r="K24" s="346"/>
      <c r="L24" s="346"/>
      <c r="M24" s="489" t="s">
        <v>231</v>
      </c>
    </row>
    <row r="25" spans="2:20" ht="15.75">
      <c r="B25" s="486"/>
      <c r="C25" s="433"/>
      <c r="D25" s="347"/>
      <c r="E25" s="436"/>
      <c r="F25" s="319"/>
      <c r="G25" s="319"/>
      <c r="H25" s="320" t="s">
        <v>139</v>
      </c>
      <c r="I25" s="320" t="s">
        <v>140</v>
      </c>
      <c r="J25" s="320" t="s">
        <v>143</v>
      </c>
      <c r="K25" s="348"/>
      <c r="L25" s="348"/>
      <c r="M25" s="490"/>
    </row>
    <row r="26" spans="2:20" ht="15">
      <c r="B26" s="487"/>
      <c r="C26" s="460"/>
      <c r="D26" s="326"/>
      <c r="E26" s="320" t="s">
        <v>233</v>
      </c>
      <c r="F26" s="320"/>
      <c r="G26" s="320"/>
      <c r="H26" s="320" t="s">
        <v>2</v>
      </c>
      <c r="I26" s="320" t="s">
        <v>4</v>
      </c>
      <c r="J26" s="320" t="s">
        <v>4</v>
      </c>
      <c r="K26" s="320"/>
      <c r="L26" s="320"/>
      <c r="M26" s="349" t="s">
        <v>7</v>
      </c>
    </row>
    <row r="27" spans="2:20" ht="15">
      <c r="B27" s="326">
        <v>1</v>
      </c>
      <c r="C27" s="350" t="s">
        <v>125</v>
      </c>
      <c r="D27" s="350"/>
      <c r="E27" s="351"/>
      <c r="F27" s="351"/>
      <c r="G27" s="351"/>
      <c r="H27" s="351"/>
      <c r="I27" s="351"/>
      <c r="J27" s="351"/>
      <c r="K27" s="351"/>
      <c r="L27" s="351"/>
      <c r="M27" s="352"/>
    </row>
    <row r="28" spans="2:20">
      <c r="B28" s="317"/>
      <c r="C28" s="317" t="s">
        <v>9</v>
      </c>
      <c r="D28" s="317"/>
      <c r="E28" s="351"/>
      <c r="F28" s="351"/>
      <c r="G28" s="351"/>
      <c r="H28" s="351"/>
      <c r="I28" s="351"/>
      <c r="J28" s="351"/>
      <c r="K28" s="351"/>
      <c r="L28" s="351"/>
      <c r="M28" s="352"/>
    </row>
    <row r="29" spans="2:20">
      <c r="B29" s="317"/>
      <c r="C29" s="317" t="s">
        <v>113</v>
      </c>
      <c r="D29" s="317"/>
      <c r="E29" s="351"/>
      <c r="F29" s="351"/>
      <c r="G29" s="351"/>
      <c r="H29" s="351"/>
      <c r="I29" s="351"/>
      <c r="J29" s="351"/>
      <c r="K29" s="351"/>
      <c r="L29" s="351"/>
      <c r="M29" s="352"/>
    </row>
    <row r="30" spans="2:20">
      <c r="B30" s="317"/>
      <c r="C30" s="317" t="s">
        <v>10</v>
      </c>
      <c r="D30" s="317"/>
      <c r="E30" s="351"/>
      <c r="F30" s="351"/>
      <c r="G30" s="351"/>
      <c r="H30" s="351"/>
      <c r="I30" s="351"/>
      <c r="J30" s="351"/>
      <c r="K30" s="351"/>
      <c r="L30" s="351"/>
      <c r="M30" s="352"/>
    </row>
    <row r="31" spans="2:20">
      <c r="B31" s="317"/>
      <c r="C31" s="317" t="s">
        <v>11</v>
      </c>
      <c r="D31" s="317"/>
      <c r="E31" s="351"/>
      <c r="F31" s="351"/>
      <c r="G31" s="351"/>
      <c r="H31" s="351"/>
      <c r="I31" s="351"/>
      <c r="J31" s="351"/>
      <c r="K31" s="351"/>
      <c r="L31" s="351"/>
      <c r="M31" s="352"/>
    </row>
    <row r="32" spans="2:20">
      <c r="B32" s="317"/>
      <c r="C32" s="317" t="s">
        <v>132</v>
      </c>
      <c r="D32" s="317"/>
      <c r="E32" s="351"/>
      <c r="F32" s="351"/>
      <c r="G32" s="351"/>
      <c r="H32" s="351"/>
      <c r="I32" s="351"/>
      <c r="J32" s="351"/>
      <c r="K32" s="351"/>
      <c r="L32" s="351"/>
      <c r="M32" s="352"/>
    </row>
    <row r="33" spans="2:13">
      <c r="B33" s="317"/>
      <c r="C33" s="317" t="s">
        <v>12</v>
      </c>
      <c r="D33" s="317"/>
      <c r="E33" s="351"/>
      <c r="F33" s="351"/>
      <c r="G33" s="351"/>
      <c r="H33" s="351"/>
      <c r="I33" s="351"/>
      <c r="J33" s="351"/>
      <c r="K33" s="351"/>
      <c r="L33" s="351"/>
      <c r="M33" s="352"/>
    </row>
    <row r="34" spans="2:13">
      <c r="B34" s="317"/>
      <c r="C34" s="317" t="s">
        <v>170</v>
      </c>
      <c r="D34" s="317"/>
      <c r="E34" s="351"/>
      <c r="F34" s="351"/>
      <c r="G34" s="351"/>
      <c r="H34" s="351"/>
      <c r="I34" s="351"/>
      <c r="J34" s="351"/>
      <c r="K34" s="351"/>
      <c r="L34" s="351"/>
      <c r="M34" s="352"/>
    </row>
    <row r="35" spans="2:13">
      <c r="B35" s="317"/>
      <c r="C35" s="317" t="s">
        <v>172</v>
      </c>
      <c r="D35" s="317"/>
      <c r="E35" s="351"/>
      <c r="F35" s="351"/>
      <c r="G35" s="351"/>
      <c r="H35" s="351"/>
      <c r="I35" s="351"/>
      <c r="J35" s="351"/>
      <c r="K35" s="351"/>
      <c r="L35" s="351"/>
      <c r="M35" s="352"/>
    </row>
    <row r="36" spans="2:13">
      <c r="B36" s="317"/>
      <c r="C36" s="317" t="s">
        <v>173</v>
      </c>
      <c r="D36" s="317"/>
      <c r="E36" s="351"/>
      <c r="F36" s="351"/>
      <c r="G36" s="351"/>
      <c r="H36" s="351"/>
      <c r="I36" s="351"/>
      <c r="J36" s="351"/>
      <c r="K36" s="351"/>
      <c r="L36" s="351"/>
      <c r="M36" s="352"/>
    </row>
  </sheetData>
  <mergeCells count="13">
    <mergeCell ref="C4:N4"/>
    <mergeCell ref="G5:K5"/>
    <mergeCell ref="D5:F6"/>
    <mergeCell ref="L5:N6"/>
    <mergeCell ref="M24:M25"/>
    <mergeCell ref="H24:J24"/>
    <mergeCell ref="G6:G7"/>
    <mergeCell ref="K6:K7"/>
    <mergeCell ref="B5:B7"/>
    <mergeCell ref="C5:C7"/>
    <mergeCell ref="B24:B26"/>
    <mergeCell ref="C24:C26"/>
    <mergeCell ref="E24:E25"/>
  </mergeCells>
  <pageMargins left="0.19685039370078741" right="0.15748031496062992" top="0.35433070866141736" bottom="0.39370078740157483" header="0.23622047244094491" footer="0.23622047244094491"/>
  <pageSetup paperSize="9" scale="83" orientation="landscape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T11"/>
  <sheetViews>
    <sheetView showGridLines="0" view="pageBreakPreview" topLeftCell="B1" zoomScale="90" zoomScaleNormal="90" zoomScaleSheetLayoutView="90" workbookViewId="0">
      <selection activeCell="I9" sqref="I9"/>
    </sheetView>
  </sheetViews>
  <sheetFormatPr defaultColWidth="9.140625" defaultRowHeight="14.25"/>
  <cols>
    <col min="1" max="1" width="4.140625" style="5" hidden="1" customWidth="1"/>
    <col min="2" max="2" width="6.28515625" style="5" customWidth="1"/>
    <col min="3" max="3" width="34.140625" style="5" customWidth="1"/>
    <col min="4" max="4" width="11.42578125" style="5" customWidth="1"/>
    <col min="5" max="5" width="10.140625" style="5" customWidth="1"/>
    <col min="6" max="6" width="11" style="5" customWidth="1"/>
    <col min="7" max="7" width="10.7109375" style="5" customWidth="1"/>
    <col min="8" max="8" width="8.42578125" style="5" customWidth="1"/>
    <col min="9" max="9" width="13.42578125" style="5" bestFit="1" customWidth="1"/>
    <col min="10" max="10" width="13.42578125" style="5" customWidth="1"/>
    <col min="11" max="11" width="12.140625" style="5" customWidth="1"/>
    <col min="12" max="12" width="9.42578125" style="5" bestFit="1" customWidth="1"/>
    <col min="13" max="13" width="10.5703125" style="5" customWidth="1"/>
    <col min="14" max="14" width="10.85546875" style="5" customWidth="1"/>
    <col min="15" max="15" width="12.5703125" style="5" customWidth="1"/>
    <col min="16" max="19" width="15.85546875" style="5" bestFit="1" customWidth="1"/>
    <col min="20" max="20" width="15.28515625" style="5" bestFit="1" customWidth="1"/>
    <col min="21" max="22" width="11.85546875" style="5" bestFit="1" customWidth="1"/>
    <col min="23" max="23" width="11.7109375" style="5" bestFit="1" customWidth="1"/>
    <col min="24" max="16384" width="9.140625" style="5"/>
  </cols>
  <sheetData>
    <row r="1" spans="2:20" ht="15">
      <c r="B1" s="279"/>
      <c r="C1" s="280"/>
      <c r="D1" s="280"/>
      <c r="E1" s="281" t="s">
        <v>218</v>
      </c>
      <c r="F1" s="281"/>
      <c r="G1" s="281"/>
      <c r="H1" s="280"/>
      <c r="I1" s="280"/>
      <c r="J1" s="280"/>
      <c r="K1" s="280"/>
      <c r="L1" s="280"/>
      <c r="M1" s="280"/>
      <c r="N1" s="282"/>
    </row>
    <row r="2" spans="2:20" ht="15">
      <c r="B2" s="283"/>
      <c r="C2" s="240"/>
      <c r="D2" s="240"/>
      <c r="E2" s="284" t="s">
        <v>174</v>
      </c>
      <c r="F2" s="284"/>
      <c r="G2" s="284"/>
      <c r="H2" s="240"/>
      <c r="I2" s="240"/>
      <c r="J2" s="240"/>
      <c r="K2" s="240"/>
      <c r="L2" s="240"/>
      <c r="M2" s="240"/>
      <c r="N2" s="285"/>
    </row>
    <row r="3" spans="2:20" ht="15">
      <c r="B3" s="283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493" t="s">
        <v>3</v>
      </c>
      <c r="N3" s="494"/>
      <c r="T3" s="21"/>
    </row>
    <row r="4" spans="2:20" s="15" customFormat="1" ht="15" customHeight="1">
      <c r="B4" s="454" t="s">
        <v>126</v>
      </c>
      <c r="C4" s="455" t="s">
        <v>14</v>
      </c>
      <c r="D4" s="456" t="s">
        <v>232</v>
      </c>
      <c r="E4" s="456"/>
      <c r="F4" s="456"/>
      <c r="G4" s="454" t="s">
        <v>230</v>
      </c>
      <c r="H4" s="454"/>
      <c r="I4" s="454"/>
      <c r="J4" s="454"/>
      <c r="K4" s="454"/>
      <c r="L4" s="457" t="s">
        <v>231</v>
      </c>
      <c r="M4" s="457"/>
      <c r="N4" s="457"/>
      <c r="O4" s="4"/>
      <c r="P4" s="4"/>
      <c r="Q4" s="4"/>
      <c r="R4" s="4"/>
      <c r="S4" s="4"/>
      <c r="T4" s="4"/>
    </row>
    <row r="5" spans="2:20" s="15" customFormat="1" ht="30">
      <c r="B5" s="454"/>
      <c r="C5" s="455"/>
      <c r="D5" s="456"/>
      <c r="E5" s="456"/>
      <c r="F5" s="456"/>
      <c r="G5" s="424" t="s">
        <v>343</v>
      </c>
      <c r="H5" s="287" t="s">
        <v>139</v>
      </c>
      <c r="I5" s="287" t="s">
        <v>140</v>
      </c>
      <c r="J5" s="287" t="s">
        <v>143</v>
      </c>
      <c r="K5" s="495" t="s">
        <v>341</v>
      </c>
      <c r="L5" s="457"/>
      <c r="M5" s="457"/>
      <c r="N5" s="457"/>
      <c r="O5" s="4"/>
      <c r="P5" s="4"/>
      <c r="Q5" s="4"/>
      <c r="R5" s="4"/>
      <c r="S5" s="4"/>
      <c r="T5" s="4"/>
    </row>
    <row r="6" spans="2:20" s="15" customFormat="1" ht="30">
      <c r="B6" s="491"/>
      <c r="C6" s="492"/>
      <c r="D6" s="286" t="s">
        <v>342</v>
      </c>
      <c r="E6" s="110" t="s">
        <v>2</v>
      </c>
      <c r="F6" s="110" t="s">
        <v>341</v>
      </c>
      <c r="G6" s="424"/>
      <c r="H6" s="110" t="s">
        <v>2</v>
      </c>
      <c r="I6" s="110" t="s">
        <v>4</v>
      </c>
      <c r="J6" s="110" t="s">
        <v>4</v>
      </c>
      <c r="K6" s="495"/>
      <c r="L6" s="286" t="s">
        <v>343</v>
      </c>
      <c r="M6" s="287" t="s">
        <v>7</v>
      </c>
      <c r="N6" s="110" t="s">
        <v>341</v>
      </c>
      <c r="O6" s="4"/>
      <c r="P6" s="4"/>
      <c r="Q6" s="4"/>
      <c r="R6" s="4"/>
      <c r="S6" s="4"/>
      <c r="T6" s="4"/>
    </row>
    <row r="7" spans="2:20" ht="15">
      <c r="B7" s="288">
        <v>1</v>
      </c>
      <c r="C7" s="44" t="s">
        <v>175</v>
      </c>
      <c r="D7" s="294" t="s">
        <v>243</v>
      </c>
      <c r="E7" s="294" t="s">
        <v>243</v>
      </c>
      <c r="F7" s="294" t="s">
        <v>243</v>
      </c>
      <c r="G7" s="108">
        <v>4.33</v>
      </c>
      <c r="H7" s="297">
        <f>'F2'!I10*1/12</f>
        <v>2.3866004052499994</v>
      </c>
      <c r="I7" s="108">
        <f>'F2'!J10*1/12</f>
        <v>2.385810939393934</v>
      </c>
      <c r="J7" s="108">
        <f>'F2'!K10*1/12</f>
        <v>4.7732446779772673</v>
      </c>
      <c r="K7" s="108">
        <f>J7-G7</f>
        <v>0.44324467797726719</v>
      </c>
      <c r="L7" s="108">
        <v>4.6100000000000003</v>
      </c>
      <c r="M7" s="108">
        <f>'F2'!N10/12</f>
        <v>5.014094349585462</v>
      </c>
      <c r="N7" s="295">
        <f>M7-L7</f>
        <v>0.40409434958546164</v>
      </c>
      <c r="O7" s="4"/>
      <c r="P7" s="4"/>
      <c r="Q7" s="4"/>
      <c r="R7" s="4"/>
      <c r="S7" s="4"/>
      <c r="T7" s="4"/>
    </row>
    <row r="8" spans="2:20" ht="15">
      <c r="B8" s="288">
        <f>B7+1</f>
        <v>2</v>
      </c>
      <c r="C8" s="44" t="s">
        <v>33</v>
      </c>
      <c r="D8" s="294" t="s">
        <v>243</v>
      </c>
      <c r="E8" s="294" t="s">
        <v>243</v>
      </c>
      <c r="F8" s="294" t="s">
        <v>243</v>
      </c>
      <c r="G8" s="108">
        <v>6.82</v>
      </c>
      <c r="H8" s="106">
        <v>0</v>
      </c>
      <c r="I8" s="108">
        <f>J8</f>
        <v>7.7561140999748872</v>
      </c>
      <c r="J8" s="108">
        <f>'F1'!E33</f>
        <v>7.7561140999748872</v>
      </c>
      <c r="K8" s="108">
        <f t="shared" ref="K8:K11" si="0">J8-G8</f>
        <v>0.93611409997488693</v>
      </c>
      <c r="L8" s="108">
        <v>8.3800000000000008</v>
      </c>
      <c r="M8" s="108">
        <f>'F1'!G33</f>
        <v>8.2789719218994513</v>
      </c>
      <c r="N8" s="295">
        <f t="shared" ref="N8:N11" si="1">M8-L8</f>
        <v>-0.10102807810054948</v>
      </c>
      <c r="O8" s="4"/>
      <c r="P8" s="4"/>
      <c r="Q8" s="4"/>
      <c r="R8" s="4"/>
      <c r="S8" s="4"/>
      <c r="T8" s="4"/>
    </row>
    <row r="9" spans="2:20" ht="15.75">
      <c r="B9" s="288"/>
      <c r="C9" s="22" t="s">
        <v>34</v>
      </c>
      <c r="D9" s="292" t="s">
        <v>243</v>
      </c>
      <c r="E9" s="292" t="s">
        <v>243</v>
      </c>
      <c r="F9" s="292" t="s">
        <v>243</v>
      </c>
      <c r="G9" s="131">
        <v>11.15</v>
      </c>
      <c r="H9" s="131">
        <f>H7+H8</f>
        <v>2.3866004052499994</v>
      </c>
      <c r="I9" s="131">
        <f>I7+I8</f>
        <v>10.141925039368822</v>
      </c>
      <c r="J9" s="131">
        <f>J7+J8-0.01</f>
        <v>12.519358777952155</v>
      </c>
      <c r="K9" s="108">
        <f t="shared" si="0"/>
        <v>1.3693587779521543</v>
      </c>
      <c r="L9" s="131">
        <v>12.99</v>
      </c>
      <c r="M9" s="131">
        <f>M7+M8</f>
        <v>13.293066271484914</v>
      </c>
      <c r="N9" s="298">
        <f t="shared" si="1"/>
        <v>0.30306627148491394</v>
      </c>
      <c r="O9" s="4"/>
      <c r="P9" s="4"/>
      <c r="Q9" s="4"/>
      <c r="R9" s="4"/>
      <c r="S9" s="4"/>
      <c r="T9" s="4"/>
    </row>
    <row r="10" spans="2:20" ht="15">
      <c r="B10" s="288">
        <v>3</v>
      </c>
      <c r="C10" s="22" t="s">
        <v>177</v>
      </c>
      <c r="D10" s="294" t="s">
        <v>243</v>
      </c>
      <c r="E10" s="294" t="s">
        <v>243</v>
      </c>
      <c r="F10" s="294" t="s">
        <v>243</v>
      </c>
      <c r="G10" s="109">
        <v>0.10150000000000001</v>
      </c>
      <c r="H10" s="109">
        <v>0.105</v>
      </c>
      <c r="I10" s="109">
        <v>0.105</v>
      </c>
      <c r="J10" s="109">
        <v>0.105</v>
      </c>
      <c r="K10" s="109"/>
      <c r="L10" s="109">
        <v>0.10150000000000001</v>
      </c>
      <c r="M10" s="109">
        <v>0.105</v>
      </c>
      <c r="N10" s="296"/>
      <c r="O10" s="4"/>
      <c r="P10" s="4"/>
      <c r="Q10" s="4"/>
      <c r="R10" s="4"/>
      <c r="S10" s="4"/>
      <c r="T10" s="4"/>
    </row>
    <row r="11" spans="2:20" ht="15.75">
      <c r="B11" s="288">
        <f t="shared" ref="B11" si="2">B10+1</f>
        <v>4</v>
      </c>
      <c r="C11" s="44" t="s">
        <v>178</v>
      </c>
      <c r="D11" s="294" t="s">
        <v>243</v>
      </c>
      <c r="E11" s="294" t="s">
        <v>243</v>
      </c>
      <c r="F11" s="294" t="s">
        <v>243</v>
      </c>
      <c r="G11" s="131">
        <f>+G9*G10</f>
        <v>1.1317250000000001</v>
      </c>
      <c r="H11" s="131">
        <f t="shared" ref="H11:I11" si="3">+H9*H10</f>
        <v>0.25059304255124992</v>
      </c>
      <c r="I11" s="131">
        <f t="shared" si="3"/>
        <v>1.0649021291337262</v>
      </c>
      <c r="J11" s="131">
        <f>J9*J10</f>
        <v>1.3145326716849761</v>
      </c>
      <c r="K11" s="131">
        <f t="shared" si="0"/>
        <v>0.18280767168497603</v>
      </c>
      <c r="L11" s="131">
        <v>1.32</v>
      </c>
      <c r="M11" s="131">
        <f>M9*M10</f>
        <v>1.3957719585059158</v>
      </c>
      <c r="N11" s="298">
        <f t="shared" si="1"/>
        <v>7.5771958505915782E-2</v>
      </c>
      <c r="O11" s="4"/>
      <c r="P11" s="4"/>
      <c r="Q11" s="4"/>
      <c r="R11" s="4"/>
      <c r="S11" s="4"/>
      <c r="T11" s="4"/>
    </row>
  </sheetData>
  <mergeCells count="8">
    <mergeCell ref="B4:B6"/>
    <mergeCell ref="C4:C6"/>
    <mergeCell ref="M3:N3"/>
    <mergeCell ref="G5:G6"/>
    <mergeCell ref="D4:F5"/>
    <mergeCell ref="G4:K4"/>
    <mergeCell ref="L4:N5"/>
    <mergeCell ref="K5:K6"/>
  </mergeCells>
  <pageMargins left="0.43307086614173229" right="0.23622047244094491" top="0.43307086614173229" bottom="0.98425196850393704" header="0.27559055118110237" footer="0.23622047244094491"/>
  <pageSetup paperSize="9" scale="85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B1:T26"/>
  <sheetViews>
    <sheetView showGridLines="0" view="pageBreakPreview" zoomScale="90" zoomScaleNormal="90" zoomScaleSheetLayoutView="90" workbookViewId="0">
      <selection activeCell="I7" sqref="I7"/>
    </sheetView>
  </sheetViews>
  <sheetFormatPr defaultColWidth="9.140625" defaultRowHeight="14.25"/>
  <cols>
    <col min="1" max="1" width="3" style="133" customWidth="1"/>
    <col min="2" max="2" width="6.28515625" style="133" customWidth="1"/>
    <col min="3" max="3" width="44.42578125" style="133" customWidth="1"/>
    <col min="4" max="4" width="10.85546875" style="133" customWidth="1"/>
    <col min="5" max="5" width="10.7109375" style="133" customWidth="1"/>
    <col min="6" max="6" width="12.5703125" style="133" customWidth="1"/>
    <col min="7" max="7" width="11.28515625" style="133" customWidth="1"/>
    <col min="8" max="8" width="10.5703125" style="133" customWidth="1"/>
    <col min="9" max="9" width="10.85546875" style="133" customWidth="1"/>
    <col min="10" max="10" width="12.28515625" style="133" customWidth="1"/>
    <col min="11" max="11" width="11" style="133" customWidth="1"/>
    <col min="12" max="12" width="12.140625" style="133" customWidth="1"/>
    <col min="13" max="13" width="11.85546875" style="133" customWidth="1"/>
    <col min="14" max="14" width="11.42578125" style="133" customWidth="1"/>
    <col min="15" max="15" width="12.5703125" style="133" customWidth="1"/>
    <col min="16" max="19" width="15.85546875" style="133" bestFit="1" customWidth="1"/>
    <col min="20" max="20" width="15.28515625" style="133" bestFit="1" customWidth="1"/>
    <col min="21" max="22" width="11.85546875" style="133" bestFit="1" customWidth="1"/>
    <col min="23" max="23" width="11.7109375" style="133" bestFit="1" customWidth="1"/>
    <col min="24" max="16384" width="9.140625" style="133"/>
  </cols>
  <sheetData>
    <row r="1" spans="2:20" ht="15">
      <c r="B1" s="333"/>
      <c r="E1" s="134" t="s">
        <v>218</v>
      </c>
      <c r="F1" s="134"/>
      <c r="G1" s="134"/>
    </row>
    <row r="2" spans="2:20" ht="15">
      <c r="E2" s="136" t="s">
        <v>179</v>
      </c>
      <c r="F2" s="136"/>
      <c r="G2" s="136"/>
    </row>
    <row r="3" spans="2:20" ht="15">
      <c r="M3" s="496" t="s">
        <v>3</v>
      </c>
      <c r="N3" s="496"/>
      <c r="T3" s="137" t="s">
        <v>3</v>
      </c>
    </row>
    <row r="4" spans="2:20" s="62" customFormat="1" ht="15" customHeight="1">
      <c r="B4" s="437" t="s">
        <v>126</v>
      </c>
      <c r="C4" s="433" t="s">
        <v>14</v>
      </c>
      <c r="D4" s="461" t="s">
        <v>232</v>
      </c>
      <c r="E4" s="461"/>
      <c r="F4" s="461"/>
      <c r="G4" s="437" t="s">
        <v>230</v>
      </c>
      <c r="H4" s="437"/>
      <c r="I4" s="437"/>
      <c r="J4" s="437"/>
      <c r="K4" s="437"/>
      <c r="L4" s="458" t="s">
        <v>231</v>
      </c>
      <c r="M4" s="458"/>
      <c r="N4" s="458"/>
      <c r="O4" s="135"/>
      <c r="P4" s="135"/>
      <c r="Q4" s="135"/>
      <c r="R4" s="135"/>
      <c r="S4" s="135"/>
      <c r="T4" s="135"/>
    </row>
    <row r="5" spans="2:20" s="62" customFormat="1" ht="30" customHeight="1">
      <c r="B5" s="437"/>
      <c r="C5" s="433"/>
      <c r="D5" s="461"/>
      <c r="E5" s="461"/>
      <c r="F5" s="461"/>
      <c r="G5" s="462" t="s">
        <v>343</v>
      </c>
      <c r="H5" s="320" t="s">
        <v>139</v>
      </c>
      <c r="I5" s="320" t="s">
        <v>140</v>
      </c>
      <c r="J5" s="320" t="s">
        <v>143</v>
      </c>
      <c r="K5" s="463" t="s">
        <v>341</v>
      </c>
      <c r="L5" s="458"/>
      <c r="M5" s="458"/>
      <c r="N5" s="458"/>
      <c r="O5" s="135"/>
      <c r="P5" s="135"/>
      <c r="Q5" s="135"/>
      <c r="R5" s="135"/>
      <c r="S5" s="135"/>
      <c r="T5" s="135"/>
    </row>
    <row r="6" spans="2:20" s="62" customFormat="1" ht="30">
      <c r="B6" s="459"/>
      <c r="C6" s="460"/>
      <c r="D6" s="322" t="s">
        <v>342</v>
      </c>
      <c r="E6" s="323" t="s">
        <v>2</v>
      </c>
      <c r="F6" s="323" t="s">
        <v>341</v>
      </c>
      <c r="G6" s="462"/>
      <c r="H6" s="323" t="s">
        <v>2</v>
      </c>
      <c r="I6" s="323" t="s">
        <v>4</v>
      </c>
      <c r="J6" s="323" t="s">
        <v>4</v>
      </c>
      <c r="K6" s="463"/>
      <c r="L6" s="322" t="s">
        <v>343</v>
      </c>
      <c r="M6" s="320" t="s">
        <v>7</v>
      </c>
      <c r="N6" s="323" t="s">
        <v>341</v>
      </c>
      <c r="O6" s="135"/>
      <c r="P6" s="135"/>
      <c r="Q6" s="135"/>
      <c r="R6" s="135"/>
      <c r="S6" s="135"/>
      <c r="T6" s="135"/>
    </row>
    <row r="7" spans="2:20" ht="15">
      <c r="B7" s="326">
        <v>1</v>
      </c>
      <c r="C7" s="317" t="s">
        <v>135</v>
      </c>
      <c r="D7" s="338" t="s">
        <v>243</v>
      </c>
      <c r="E7" s="338" t="s">
        <v>243</v>
      </c>
      <c r="F7" s="338" t="s">
        <v>243</v>
      </c>
      <c r="G7" s="339">
        <v>2.1800000000000002</v>
      </c>
      <c r="H7" s="338" t="s">
        <v>243</v>
      </c>
      <c r="I7" s="339">
        <f>+'F4'!F24*25%</f>
        <v>7.0123925439999999</v>
      </c>
      <c r="J7" s="339">
        <f>+I7</f>
        <v>7.0123925439999999</v>
      </c>
      <c r="K7" s="339">
        <f>J7-G7</f>
        <v>4.8323925439999993</v>
      </c>
      <c r="L7" s="339">
        <v>4.0599999999999996</v>
      </c>
      <c r="M7" s="339">
        <f>J11</f>
        <v>7.0198925440000002</v>
      </c>
      <c r="N7" s="353">
        <f>M7-L7</f>
        <v>2.9598925440000006</v>
      </c>
      <c r="O7" s="135"/>
      <c r="P7" s="135"/>
      <c r="Q7" s="135"/>
      <c r="R7" s="135"/>
      <c r="S7" s="135"/>
      <c r="T7" s="135"/>
    </row>
    <row r="8" spans="2:20" ht="15">
      <c r="B8" s="326">
        <f>B7+1</f>
        <v>2</v>
      </c>
      <c r="C8" s="317" t="s">
        <v>136</v>
      </c>
      <c r="D8" s="338" t="s">
        <v>243</v>
      </c>
      <c r="E8" s="338" t="s">
        <v>243</v>
      </c>
      <c r="F8" s="338" t="s">
        <v>243</v>
      </c>
      <c r="G8" s="339">
        <f>G9*100/25</f>
        <v>7.52</v>
      </c>
      <c r="H8" s="338" t="s">
        <v>243</v>
      </c>
      <c r="I8" s="339">
        <f>'F4'!G24</f>
        <v>0.03</v>
      </c>
      <c r="J8" s="339">
        <f t="shared" ref="J8:J11" si="0">+I8</f>
        <v>0.03</v>
      </c>
      <c r="K8" s="339">
        <f t="shared" ref="K8:K19" si="1">J8-G8</f>
        <v>-7.4899999999999993</v>
      </c>
      <c r="L8" s="339">
        <f>L9*100/25</f>
        <v>62.44</v>
      </c>
      <c r="M8" s="339">
        <f>'F4'!G37</f>
        <v>13.789263715000002</v>
      </c>
      <c r="N8" s="353">
        <f t="shared" ref="N8:N18" si="2">M8-L8</f>
        <v>-48.650736284999994</v>
      </c>
      <c r="O8" s="135"/>
      <c r="P8" s="135"/>
      <c r="Q8" s="135"/>
      <c r="R8" s="135"/>
      <c r="S8" s="135"/>
      <c r="T8" s="135"/>
    </row>
    <row r="9" spans="2:20" ht="15.75">
      <c r="B9" s="326">
        <f t="shared" ref="B9:B19" si="3">B8+1</f>
        <v>3</v>
      </c>
      <c r="C9" s="328" t="s">
        <v>15</v>
      </c>
      <c r="D9" s="323" t="s">
        <v>243</v>
      </c>
      <c r="E9" s="323" t="s">
        <v>243</v>
      </c>
      <c r="F9" s="323" t="s">
        <v>243</v>
      </c>
      <c r="G9" s="339">
        <v>1.88</v>
      </c>
      <c r="H9" s="323" t="s">
        <v>243</v>
      </c>
      <c r="I9" s="339">
        <f>I8*25%</f>
        <v>7.4999999999999997E-3</v>
      </c>
      <c r="J9" s="339">
        <f t="shared" si="0"/>
        <v>7.4999999999999997E-3</v>
      </c>
      <c r="K9" s="339">
        <f t="shared" si="1"/>
        <v>-1.8724999999999998</v>
      </c>
      <c r="L9" s="339">
        <v>15.61</v>
      </c>
      <c r="M9" s="339">
        <f>M8*25%</f>
        <v>3.4473159287500006</v>
      </c>
      <c r="N9" s="353">
        <f t="shared" si="2"/>
        <v>-12.162684071249998</v>
      </c>
      <c r="O9" s="135"/>
      <c r="P9" s="135"/>
      <c r="Q9" s="135"/>
      <c r="R9" s="135"/>
      <c r="S9" s="135"/>
      <c r="T9" s="135"/>
    </row>
    <row r="10" spans="2:20" ht="28.5">
      <c r="B10" s="326">
        <f t="shared" si="3"/>
        <v>4</v>
      </c>
      <c r="C10" s="341" t="s">
        <v>16</v>
      </c>
      <c r="D10" s="338" t="s">
        <v>243</v>
      </c>
      <c r="E10" s="338" t="s">
        <v>243</v>
      </c>
      <c r="F10" s="338" t="s">
        <v>243</v>
      </c>
      <c r="G10" s="339">
        <v>0</v>
      </c>
      <c r="H10" s="338" t="s">
        <v>243</v>
      </c>
      <c r="I10" s="339">
        <v>0</v>
      </c>
      <c r="J10" s="339">
        <f t="shared" si="0"/>
        <v>0</v>
      </c>
      <c r="K10" s="339">
        <f t="shared" si="1"/>
        <v>0</v>
      </c>
      <c r="L10" s="339">
        <v>0</v>
      </c>
      <c r="M10" s="339">
        <v>0</v>
      </c>
      <c r="N10" s="339">
        <v>0</v>
      </c>
      <c r="O10" s="135"/>
      <c r="P10" s="135"/>
      <c r="Q10" s="135"/>
      <c r="R10" s="135"/>
      <c r="S10" s="135"/>
      <c r="T10" s="135"/>
    </row>
    <row r="11" spans="2:20" s="154" customFormat="1" ht="15">
      <c r="B11" s="326">
        <f t="shared" si="3"/>
        <v>5</v>
      </c>
      <c r="C11" s="342" t="s">
        <v>17</v>
      </c>
      <c r="D11" s="338" t="s">
        <v>243</v>
      </c>
      <c r="E11" s="338" t="s">
        <v>243</v>
      </c>
      <c r="F11" s="338" t="s">
        <v>243</v>
      </c>
      <c r="G11" s="339">
        <v>4.0599999999999996</v>
      </c>
      <c r="H11" s="338" t="s">
        <v>243</v>
      </c>
      <c r="I11" s="339">
        <f>I7+I9</f>
        <v>7.0198925440000002</v>
      </c>
      <c r="J11" s="339">
        <f t="shared" si="0"/>
        <v>7.0198925440000002</v>
      </c>
      <c r="K11" s="339">
        <f t="shared" si="1"/>
        <v>2.9598925440000006</v>
      </c>
      <c r="L11" s="339">
        <v>19.670000000000002</v>
      </c>
      <c r="M11" s="339">
        <f>M7+M9-0.01</f>
        <v>10.457208472750001</v>
      </c>
      <c r="N11" s="353">
        <f t="shared" si="2"/>
        <v>-9.2127915272500012</v>
      </c>
      <c r="O11" s="135"/>
      <c r="P11" s="135"/>
      <c r="Q11" s="135"/>
      <c r="R11" s="135"/>
      <c r="S11" s="135"/>
      <c r="T11" s="135"/>
    </row>
    <row r="12" spans="2:20" s="154" customFormat="1" ht="15">
      <c r="B12" s="326"/>
      <c r="C12" s="354" t="s">
        <v>180</v>
      </c>
      <c r="D12" s="338" t="s">
        <v>243</v>
      </c>
      <c r="E12" s="338" t="s">
        <v>243</v>
      </c>
      <c r="F12" s="338" t="s">
        <v>243</v>
      </c>
      <c r="G12" s="355"/>
      <c r="H12" s="338" t="s">
        <v>243</v>
      </c>
      <c r="I12" s="338" t="s">
        <v>243</v>
      </c>
      <c r="J12" s="338" t="s">
        <v>243</v>
      </c>
      <c r="K12" s="338" t="s">
        <v>243</v>
      </c>
      <c r="L12" s="338" t="s">
        <v>243</v>
      </c>
      <c r="M12" s="338" t="s">
        <v>243</v>
      </c>
      <c r="N12" s="338" t="s">
        <v>243</v>
      </c>
      <c r="O12" s="135"/>
      <c r="P12" s="135"/>
      <c r="Q12" s="135"/>
      <c r="R12" s="135"/>
      <c r="S12" s="135"/>
      <c r="T12" s="135"/>
    </row>
    <row r="13" spans="2:20" s="154" customFormat="1" ht="15">
      <c r="B13" s="326">
        <f>B11+1</f>
        <v>6</v>
      </c>
      <c r="C13" s="342" t="s">
        <v>181</v>
      </c>
      <c r="D13" s="338" t="s">
        <v>243</v>
      </c>
      <c r="E13" s="338" t="s">
        <v>243</v>
      </c>
      <c r="F13" s="338" t="s">
        <v>243</v>
      </c>
      <c r="G13" s="355">
        <v>0.105</v>
      </c>
      <c r="H13" s="338" t="s">
        <v>243</v>
      </c>
      <c r="I13" s="355">
        <v>0.14000000000000001</v>
      </c>
      <c r="J13" s="355">
        <v>0.14000000000000001</v>
      </c>
      <c r="K13" s="338" t="s">
        <v>243</v>
      </c>
      <c r="L13" s="355">
        <v>0.14000000000000001</v>
      </c>
      <c r="M13" s="355">
        <v>0.14000000000000001</v>
      </c>
      <c r="N13" s="338" t="s">
        <v>243</v>
      </c>
      <c r="O13" s="135"/>
      <c r="P13" s="135"/>
      <c r="Q13" s="135"/>
      <c r="R13" s="135"/>
      <c r="S13" s="135"/>
      <c r="T13" s="135"/>
    </row>
    <row r="14" spans="2:20" s="154" customFormat="1" ht="15.75">
      <c r="B14" s="326">
        <f>B13+1</f>
        <v>7</v>
      </c>
      <c r="C14" s="342" t="s">
        <v>182</v>
      </c>
      <c r="D14" s="323" t="s">
        <v>243</v>
      </c>
      <c r="E14" s="323" t="s">
        <v>243</v>
      </c>
      <c r="F14" s="323" t="s">
        <v>243</v>
      </c>
      <c r="G14" s="355">
        <v>0.17469999999999999</v>
      </c>
      <c r="H14" s="323" t="s">
        <v>243</v>
      </c>
      <c r="I14" s="355">
        <v>0.17469999999999999</v>
      </c>
      <c r="J14" s="355">
        <v>0.17469999999999999</v>
      </c>
      <c r="K14" s="338" t="s">
        <v>243</v>
      </c>
      <c r="L14" s="355">
        <v>0.17469999999999999</v>
      </c>
      <c r="M14" s="355">
        <v>0.17469999999999999</v>
      </c>
      <c r="N14" s="338" t="s">
        <v>243</v>
      </c>
      <c r="O14" s="135"/>
      <c r="P14" s="135"/>
      <c r="Q14" s="135"/>
      <c r="R14" s="135"/>
      <c r="S14" s="135"/>
      <c r="T14" s="135"/>
    </row>
    <row r="15" spans="2:20" s="154" customFormat="1" ht="15">
      <c r="B15" s="326">
        <f>B14+1</f>
        <v>8</v>
      </c>
      <c r="C15" s="356" t="s">
        <v>180</v>
      </c>
      <c r="D15" s="338" t="s">
        <v>243</v>
      </c>
      <c r="E15" s="338" t="s">
        <v>243</v>
      </c>
      <c r="F15" s="338" t="s">
        <v>243</v>
      </c>
      <c r="G15" s="355">
        <v>0.12720000000000001</v>
      </c>
      <c r="H15" s="338" t="s">
        <v>243</v>
      </c>
      <c r="I15" s="355">
        <f>I13/(100%-I14)</f>
        <v>0.16963528413910095</v>
      </c>
      <c r="J15" s="355">
        <f>J13/(100%-J14)</f>
        <v>0.16963528413910095</v>
      </c>
      <c r="K15" s="338" t="s">
        <v>243</v>
      </c>
      <c r="L15" s="355">
        <f t="shared" ref="L15:M15" si="4">L13/(100%-L14)</f>
        <v>0.16963528413910095</v>
      </c>
      <c r="M15" s="355">
        <f t="shared" si="4"/>
        <v>0.16963528413910095</v>
      </c>
      <c r="N15" s="338" t="s">
        <v>243</v>
      </c>
      <c r="O15" s="135"/>
      <c r="P15" s="135"/>
      <c r="Q15" s="135"/>
      <c r="R15" s="135"/>
      <c r="S15" s="135"/>
      <c r="T15" s="135"/>
    </row>
    <row r="16" spans="2:20" ht="15">
      <c r="B16" s="326"/>
      <c r="C16" s="354" t="s">
        <v>120</v>
      </c>
      <c r="D16" s="338" t="s">
        <v>243</v>
      </c>
      <c r="E16" s="338" t="s">
        <v>243</v>
      </c>
      <c r="F16" s="338" t="s">
        <v>243</v>
      </c>
      <c r="G16" s="339"/>
      <c r="H16" s="338" t="s">
        <v>243</v>
      </c>
      <c r="I16" s="338" t="s">
        <v>243</v>
      </c>
      <c r="J16" s="338" t="s">
        <v>243</v>
      </c>
      <c r="K16" s="338" t="s">
        <v>243</v>
      </c>
      <c r="L16" s="338" t="s">
        <v>243</v>
      </c>
      <c r="M16" s="338" t="s">
        <v>243</v>
      </c>
      <c r="N16" s="338" t="s">
        <v>243</v>
      </c>
      <c r="O16" s="135"/>
      <c r="P16" s="135"/>
      <c r="Q16" s="135"/>
      <c r="R16" s="135"/>
      <c r="S16" s="135"/>
      <c r="T16" s="135"/>
    </row>
    <row r="17" spans="2:20" ht="28.5">
      <c r="B17" s="326">
        <f>B15+1</f>
        <v>9</v>
      </c>
      <c r="C17" s="341" t="s">
        <v>137</v>
      </c>
      <c r="D17" s="338" t="s">
        <v>243</v>
      </c>
      <c r="E17" s="338" t="s">
        <v>243</v>
      </c>
      <c r="F17" s="338" t="s">
        <v>243</v>
      </c>
      <c r="G17" s="339">
        <f>G7*G15</f>
        <v>0.27729600000000004</v>
      </c>
      <c r="H17" s="338" t="s">
        <v>243</v>
      </c>
      <c r="I17" s="339">
        <f>I7*I15</f>
        <v>1.1895492016963529</v>
      </c>
      <c r="J17" s="339">
        <f>J7*J15</f>
        <v>1.1895492016963529</v>
      </c>
      <c r="K17" s="339">
        <f t="shared" si="1"/>
        <v>0.91225320169635293</v>
      </c>
      <c r="L17" s="339">
        <f>L7*L15</f>
        <v>0.68871925360474984</v>
      </c>
      <c r="M17" s="339">
        <f>M7*M15</f>
        <v>1.1908214663273962</v>
      </c>
      <c r="N17" s="353">
        <f>M17-L17</f>
        <v>0.50210221272264632</v>
      </c>
      <c r="O17" s="135"/>
      <c r="P17" s="135"/>
      <c r="Q17" s="135"/>
      <c r="R17" s="135"/>
      <c r="S17" s="135"/>
      <c r="T17" s="135"/>
    </row>
    <row r="18" spans="2:20" ht="28.5">
      <c r="B18" s="326">
        <f t="shared" si="3"/>
        <v>10</v>
      </c>
      <c r="C18" s="341" t="s">
        <v>138</v>
      </c>
      <c r="D18" s="338" t="s">
        <v>243</v>
      </c>
      <c r="E18" s="338" t="s">
        <v>243</v>
      </c>
      <c r="F18" s="338" t="s">
        <v>243</v>
      </c>
      <c r="G18" s="339">
        <f>G9*G15*0.5</f>
        <v>0.11956799999999999</v>
      </c>
      <c r="H18" s="338" t="s">
        <v>243</v>
      </c>
      <c r="I18" s="339">
        <f>I9*I15*0.5</f>
        <v>6.3613231552162855E-4</v>
      </c>
      <c r="J18" s="339">
        <f>J9*J15*0.5</f>
        <v>6.3613231552162855E-4</v>
      </c>
      <c r="K18" s="339">
        <f t="shared" si="1"/>
        <v>-0.11893186768447836</v>
      </c>
      <c r="L18" s="339">
        <f>L9*L15*0.5</f>
        <v>1.3240033927056829</v>
      </c>
      <c r="M18" s="339">
        <f>M9*M15*0.5</f>
        <v>0.29239320854537754</v>
      </c>
      <c r="N18" s="353">
        <f t="shared" si="2"/>
        <v>-1.0316101841603054</v>
      </c>
      <c r="O18" s="135"/>
      <c r="P18" s="135"/>
      <c r="Q18" s="135"/>
      <c r="R18" s="135"/>
      <c r="S18" s="135"/>
      <c r="T18" s="135"/>
    </row>
    <row r="19" spans="2:20" ht="15.75">
      <c r="B19" s="326">
        <f t="shared" si="3"/>
        <v>11</v>
      </c>
      <c r="C19" s="350" t="s">
        <v>121</v>
      </c>
      <c r="D19" s="338" t="s">
        <v>243</v>
      </c>
      <c r="E19" s="338" t="s">
        <v>243</v>
      </c>
      <c r="F19" s="338" t="s">
        <v>243</v>
      </c>
      <c r="G19" s="340">
        <f>SUM(G17:G18)</f>
        <v>0.39686400000000005</v>
      </c>
      <c r="H19" s="338" t="s">
        <v>243</v>
      </c>
      <c r="I19" s="340">
        <f>SUM(I17:I18)</f>
        <v>1.1901853340118747</v>
      </c>
      <c r="J19" s="340">
        <f>SUM(J17:J18)</f>
        <v>1.1901853340118747</v>
      </c>
      <c r="K19" s="340">
        <f t="shared" si="1"/>
        <v>0.79332133401187455</v>
      </c>
      <c r="L19" s="340">
        <f>SUM(L17:L18)</f>
        <v>2.0127226463104329</v>
      </c>
      <c r="M19" s="340">
        <f>SUM(M17:M18)+0.01</f>
        <v>1.4932146748727737</v>
      </c>
      <c r="N19" s="357">
        <f>M19-L19-0.01</f>
        <v>-0.52950797143765915</v>
      </c>
      <c r="O19" s="135"/>
      <c r="P19" s="135"/>
      <c r="Q19" s="135"/>
      <c r="R19" s="135"/>
      <c r="S19" s="135"/>
      <c r="T19" s="135"/>
    </row>
    <row r="20" spans="2:20">
      <c r="B20" s="133" t="s">
        <v>346</v>
      </c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</row>
    <row r="21" spans="2:20"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</row>
    <row r="22" spans="2:20"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</row>
    <row r="23" spans="2:20"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</row>
    <row r="24" spans="2:20"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</row>
    <row r="25" spans="2:20"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</row>
    <row r="26" spans="2:20"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</row>
  </sheetData>
  <mergeCells count="8">
    <mergeCell ref="B4:B6"/>
    <mergeCell ref="C4:C6"/>
    <mergeCell ref="M3:N3"/>
    <mergeCell ref="K5:K6"/>
    <mergeCell ref="G5:G6"/>
    <mergeCell ref="D4:F5"/>
    <mergeCell ref="G4:K4"/>
    <mergeCell ref="L4:N5"/>
  </mergeCells>
  <pageMargins left="0.59055118110236227" right="0.15748031496062992" top="0.43307086614173229" bottom="0.98425196850393704" header="0.23622047244094491" footer="0.23622047244094491"/>
  <pageSetup paperSize="9" scale="78" orientation="landscape" r:id="rId1"/>
  <headerFooter alignWithMargins="0">
    <oddHeader>&amp;F</oddHeader>
  </headerFooter>
  <ignoredErrors>
    <ignoredError sqref="K17:K19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B1:T19"/>
  <sheetViews>
    <sheetView showGridLines="0" view="pageBreakPreview" topLeftCell="B1" zoomScale="90" zoomScaleNormal="90" zoomScaleSheetLayoutView="90" workbookViewId="0">
      <selection activeCell="P10" sqref="P10"/>
    </sheetView>
  </sheetViews>
  <sheetFormatPr defaultColWidth="9.140625" defaultRowHeight="14.25"/>
  <cols>
    <col min="1" max="1" width="0.140625" style="5" customWidth="1"/>
    <col min="2" max="2" width="6.28515625" style="5" customWidth="1"/>
    <col min="3" max="3" width="43.5703125" style="5" customWidth="1"/>
    <col min="4" max="4" width="10.7109375" style="5" customWidth="1"/>
    <col min="5" max="5" width="9.5703125" style="5" customWidth="1"/>
    <col min="6" max="6" width="10.42578125" style="5" customWidth="1"/>
    <col min="7" max="7" width="11.28515625" style="5" customWidth="1"/>
    <col min="8" max="8" width="10.7109375" style="5" customWidth="1"/>
    <col min="9" max="9" width="12.140625" style="5" customWidth="1"/>
    <col min="10" max="10" width="13.28515625" style="5" customWidth="1"/>
    <col min="11" max="11" width="11.42578125" style="5" customWidth="1"/>
    <col min="12" max="12" width="9.85546875" style="5" customWidth="1"/>
    <col min="13" max="14" width="10.85546875" style="5" customWidth="1"/>
    <col min="15" max="15" width="12.5703125" style="5" customWidth="1"/>
    <col min="16" max="19" width="15.85546875" style="5" bestFit="1" customWidth="1"/>
    <col min="20" max="20" width="15.28515625" style="5" bestFit="1" customWidth="1"/>
    <col min="21" max="22" width="11.85546875" style="5" bestFit="1" customWidth="1"/>
    <col min="23" max="23" width="11.7109375" style="5" bestFit="1" customWidth="1"/>
    <col min="24" max="16384" width="9.140625" style="5"/>
  </cols>
  <sheetData>
    <row r="1" spans="2:20" ht="15">
      <c r="E1" s="25" t="s">
        <v>218</v>
      </c>
      <c r="F1" s="25"/>
      <c r="G1" s="25"/>
    </row>
    <row r="2" spans="2:20" ht="15">
      <c r="E2" s="27" t="s">
        <v>183</v>
      </c>
      <c r="F2" s="27"/>
      <c r="G2" s="27"/>
    </row>
    <row r="3" spans="2:20" ht="15">
      <c r="M3" s="493" t="s">
        <v>3</v>
      </c>
      <c r="N3" s="493"/>
      <c r="T3" s="21" t="s">
        <v>3</v>
      </c>
    </row>
    <row r="4" spans="2:20" s="15" customFormat="1" ht="15" customHeight="1">
      <c r="B4" s="454" t="s">
        <v>126</v>
      </c>
      <c r="C4" s="455" t="s">
        <v>14</v>
      </c>
      <c r="D4" s="456" t="s">
        <v>232</v>
      </c>
      <c r="E4" s="456"/>
      <c r="F4" s="456"/>
      <c r="G4" s="454" t="s">
        <v>230</v>
      </c>
      <c r="H4" s="454"/>
      <c r="I4" s="454"/>
      <c r="J4" s="454"/>
      <c r="K4" s="454"/>
      <c r="L4" s="457" t="s">
        <v>231</v>
      </c>
      <c r="M4" s="457"/>
      <c r="N4" s="457"/>
      <c r="O4" s="4"/>
      <c r="P4" s="4"/>
      <c r="Q4" s="4"/>
      <c r="R4" s="4"/>
      <c r="S4" s="4"/>
      <c r="T4" s="4"/>
    </row>
    <row r="5" spans="2:20" s="15" customFormat="1" ht="30" customHeight="1">
      <c r="B5" s="454"/>
      <c r="C5" s="455"/>
      <c r="D5" s="456"/>
      <c r="E5" s="456"/>
      <c r="F5" s="456"/>
      <c r="G5" s="424" t="s">
        <v>343</v>
      </c>
      <c r="H5" s="287" t="s">
        <v>139</v>
      </c>
      <c r="I5" s="287" t="s">
        <v>140</v>
      </c>
      <c r="J5" s="287" t="s">
        <v>143</v>
      </c>
      <c r="K5" s="495" t="s">
        <v>341</v>
      </c>
      <c r="L5" s="457"/>
      <c r="M5" s="457"/>
      <c r="N5" s="457"/>
      <c r="O5" s="4"/>
      <c r="P5" s="4"/>
      <c r="Q5" s="4"/>
      <c r="R5" s="4"/>
      <c r="S5" s="4"/>
      <c r="T5" s="4"/>
    </row>
    <row r="6" spans="2:20" s="15" customFormat="1" ht="30">
      <c r="B6" s="491"/>
      <c r="C6" s="492"/>
      <c r="D6" s="286" t="s">
        <v>342</v>
      </c>
      <c r="E6" s="292" t="s">
        <v>2</v>
      </c>
      <c r="F6" s="110" t="s">
        <v>341</v>
      </c>
      <c r="G6" s="424"/>
      <c r="H6" s="292" t="s">
        <v>2</v>
      </c>
      <c r="I6" s="292" t="s">
        <v>4</v>
      </c>
      <c r="J6" s="292" t="s">
        <v>4</v>
      </c>
      <c r="K6" s="495"/>
      <c r="L6" s="286" t="s">
        <v>343</v>
      </c>
      <c r="M6" s="287" t="s">
        <v>7</v>
      </c>
      <c r="N6" s="110" t="s">
        <v>341</v>
      </c>
      <c r="O6" s="4"/>
      <c r="P6" s="4"/>
      <c r="Q6" s="4"/>
      <c r="R6" s="4"/>
      <c r="S6" s="4"/>
      <c r="T6" s="4"/>
    </row>
    <row r="7" spans="2:20" ht="15">
      <c r="B7" s="288">
        <v>1</v>
      </c>
      <c r="C7" s="22" t="s">
        <v>184</v>
      </c>
      <c r="D7" s="111">
        <f>('[4]CWIP STATEMENT'!$E$9)/10000000</f>
        <v>0</v>
      </c>
      <c r="E7" s="111">
        <f>('[4]CWIP STATEMENT'!$E$9)/10000000</f>
        <v>0</v>
      </c>
      <c r="F7" s="111">
        <f>('[4]CWIP STATEMENT'!$E$9)/10000000</f>
        <v>0</v>
      </c>
      <c r="G7" s="111">
        <f>('[4]CWIP STATEMENT'!$E$9)/10000000</f>
        <v>0</v>
      </c>
      <c r="H7" s="111">
        <f>('[4]CWIP STATEMENT'!$E$9)/10000000</f>
        <v>0</v>
      </c>
      <c r="I7" s="111">
        <f>('[4]CWIP STATEMENT'!$E$9)/10000000</f>
        <v>0</v>
      </c>
      <c r="J7" s="111">
        <f>('[4]CWIP STATEMENT'!$E$9)/10000000</f>
        <v>0</v>
      </c>
      <c r="K7" s="111">
        <f>('[4]CWIP STATEMENT'!$E$9)/10000000</f>
        <v>0</v>
      </c>
      <c r="L7" s="111">
        <f>('[4]CWIP STATEMENT'!$E$9)/10000000</f>
        <v>0</v>
      </c>
      <c r="M7" s="111">
        <f>('[4]CWIP STATEMENT'!$E$9)/10000000</f>
        <v>0</v>
      </c>
      <c r="N7" s="111">
        <f>('[4]CWIP STATEMENT'!$E$9)/10000000</f>
        <v>0</v>
      </c>
      <c r="O7" s="4"/>
      <c r="P7" s="4"/>
      <c r="Q7" s="4"/>
      <c r="R7" s="4"/>
      <c r="S7" s="4"/>
      <c r="T7" s="4"/>
    </row>
    <row r="8" spans="2:20" ht="15">
      <c r="B8" s="288">
        <f>B7+1</f>
        <v>2</v>
      </c>
      <c r="C8" s="22" t="s">
        <v>185</v>
      </c>
      <c r="D8" s="111">
        <f>('[4]CWIP STATEMENT'!$E$9)/10000000</f>
        <v>0</v>
      </c>
      <c r="E8" s="111">
        <f>('[4]CWIP STATEMENT'!$E$9)/10000000</f>
        <v>0</v>
      </c>
      <c r="F8" s="111">
        <f>('[4]CWIP STATEMENT'!$E$9)/10000000</f>
        <v>0</v>
      </c>
      <c r="G8" s="111">
        <f>('[4]CWIP STATEMENT'!$E$9)/10000000</f>
        <v>0</v>
      </c>
      <c r="H8" s="111">
        <f>('[4]CWIP STATEMENT'!$E$9)/10000000</f>
        <v>0</v>
      </c>
      <c r="I8" s="111">
        <f>('[4]CWIP STATEMENT'!$E$9)/10000000</f>
        <v>0</v>
      </c>
      <c r="J8" s="111">
        <f>('[4]CWIP STATEMENT'!$E$9)/10000000</f>
        <v>0</v>
      </c>
      <c r="K8" s="111">
        <f>('[4]CWIP STATEMENT'!$E$9)/10000000</f>
        <v>0</v>
      </c>
      <c r="L8" s="111">
        <f>('[4]CWIP STATEMENT'!$E$9)/10000000</f>
        <v>0</v>
      </c>
      <c r="M8" s="111">
        <f>('[4]CWIP STATEMENT'!$E$9)/10000000</f>
        <v>0</v>
      </c>
      <c r="N8" s="111">
        <f>('[4]CWIP STATEMENT'!$E$9)/10000000</f>
        <v>0</v>
      </c>
      <c r="O8" s="4"/>
      <c r="P8" s="4"/>
      <c r="Q8" s="4"/>
      <c r="R8" s="4"/>
      <c r="S8" s="4"/>
      <c r="T8" s="4"/>
    </row>
    <row r="9" spans="2:20" ht="15">
      <c r="B9" s="288">
        <f>B8+1</f>
        <v>3</v>
      </c>
      <c r="C9" s="22" t="s">
        <v>186</v>
      </c>
      <c r="D9" s="111">
        <f>('[4]CWIP STATEMENT'!$E$9)/10000000</f>
        <v>0</v>
      </c>
      <c r="E9" s="111">
        <f>('[4]CWIP STATEMENT'!$E$9)/10000000</f>
        <v>0</v>
      </c>
      <c r="F9" s="111">
        <f>('[4]CWIP STATEMENT'!$E$9)/10000000</f>
        <v>0</v>
      </c>
      <c r="G9" s="111">
        <f>('[4]CWIP STATEMENT'!$E$9)/10000000</f>
        <v>0</v>
      </c>
      <c r="H9" s="111">
        <f>('[4]CWIP STATEMENT'!$E$9)/10000000</f>
        <v>0</v>
      </c>
      <c r="I9" s="111">
        <f>('[4]CWIP STATEMENT'!$E$9)/10000000</f>
        <v>0</v>
      </c>
      <c r="J9" s="111">
        <f>('[4]CWIP STATEMENT'!$E$9)/10000000</f>
        <v>0</v>
      </c>
      <c r="K9" s="111">
        <f>('[4]CWIP STATEMENT'!$E$9)/10000000</f>
        <v>0</v>
      </c>
      <c r="L9" s="111">
        <f>('[4]CWIP STATEMENT'!$E$9)/10000000</f>
        <v>0</v>
      </c>
      <c r="M9" s="111">
        <f>('[4]CWIP STATEMENT'!$E$9)/10000000</f>
        <v>0</v>
      </c>
      <c r="N9" s="111">
        <f>('[4]CWIP STATEMENT'!$E$9)/10000000</f>
        <v>0</v>
      </c>
      <c r="O9" s="4"/>
      <c r="P9" s="4"/>
      <c r="Q9" s="4"/>
      <c r="R9" s="4"/>
      <c r="S9" s="4"/>
      <c r="T9" s="4"/>
    </row>
    <row r="10" spans="2:20" ht="15">
      <c r="B10" s="288">
        <f t="shared" ref="B10:B15" si="0">B9+1</f>
        <v>4</v>
      </c>
      <c r="C10" s="23" t="s">
        <v>187</v>
      </c>
      <c r="D10" s="111">
        <f>('[4]CWIP STATEMENT'!$E$9)/10000000</f>
        <v>0</v>
      </c>
      <c r="E10" s="111">
        <f>('[4]CWIP STATEMENT'!$E$9)/10000000</f>
        <v>0</v>
      </c>
      <c r="F10" s="111">
        <f>('[4]CWIP STATEMENT'!$E$9)/10000000</f>
        <v>0</v>
      </c>
      <c r="G10" s="111">
        <f>('[4]CWIP STATEMENT'!$E$9)/10000000</f>
        <v>0</v>
      </c>
      <c r="H10" s="111">
        <f>('[4]CWIP STATEMENT'!$E$9)/10000000</f>
        <v>0</v>
      </c>
      <c r="I10" s="111">
        <f>('[4]CWIP STATEMENT'!$E$9)/10000000</f>
        <v>0</v>
      </c>
      <c r="J10" s="111">
        <f>('[4]CWIP STATEMENT'!$E$9)/10000000</f>
        <v>0</v>
      </c>
      <c r="K10" s="111">
        <f>('[4]CWIP STATEMENT'!$E$9)/10000000</f>
        <v>0</v>
      </c>
      <c r="L10" s="111">
        <f>('[4]CWIP STATEMENT'!$E$9)/10000000</f>
        <v>0</v>
      </c>
      <c r="M10" s="111">
        <f>('[4]CWIP STATEMENT'!$E$9)/10000000</f>
        <v>0</v>
      </c>
      <c r="N10" s="111">
        <f>('[4]CWIP STATEMENT'!$E$9)/10000000</f>
        <v>0</v>
      </c>
      <c r="O10" s="4"/>
      <c r="P10" s="4"/>
      <c r="Q10" s="4"/>
      <c r="R10" s="4"/>
      <c r="S10" s="4"/>
      <c r="T10" s="4"/>
    </row>
    <row r="11" spans="2:20" ht="28.5">
      <c r="B11" s="288">
        <f t="shared" si="0"/>
        <v>5</v>
      </c>
      <c r="C11" s="44" t="s">
        <v>188</v>
      </c>
      <c r="D11" s="111">
        <f>('[4]CWIP STATEMENT'!$E$9)/10000000</f>
        <v>0</v>
      </c>
      <c r="E11" s="111">
        <f>('[4]CWIP STATEMENT'!$E$9)/10000000</f>
        <v>0</v>
      </c>
      <c r="F11" s="111">
        <f>('[4]CWIP STATEMENT'!$E$9)/10000000</f>
        <v>0</v>
      </c>
      <c r="G11" s="111">
        <f>('[4]CWIP STATEMENT'!$E$9)/10000000</f>
        <v>0</v>
      </c>
      <c r="H11" s="111">
        <f>('[4]CWIP STATEMENT'!$E$9)/10000000</f>
        <v>0</v>
      </c>
      <c r="I11" s="111">
        <f>('[4]CWIP STATEMENT'!$E$9)/10000000</f>
        <v>0</v>
      </c>
      <c r="J11" s="111">
        <f>('[4]CWIP STATEMENT'!$E$9)/10000000</f>
        <v>0</v>
      </c>
      <c r="K11" s="111">
        <f>('[4]CWIP STATEMENT'!$E$9)/10000000</f>
        <v>0</v>
      </c>
      <c r="L11" s="111">
        <f>('[4]CWIP STATEMENT'!$E$9)/10000000</f>
        <v>0</v>
      </c>
      <c r="M11" s="111">
        <f>('[4]CWIP STATEMENT'!$E$9)/10000000</f>
        <v>0</v>
      </c>
      <c r="N11" s="111">
        <f>('[4]CWIP STATEMENT'!$E$9)/10000000</f>
        <v>0</v>
      </c>
      <c r="O11" s="4"/>
      <c r="P11" s="4"/>
      <c r="Q11" s="4"/>
      <c r="R11" s="4"/>
      <c r="S11" s="4"/>
      <c r="T11" s="4"/>
    </row>
    <row r="12" spans="2:20" s="24" customFormat="1" ht="15">
      <c r="B12" s="288">
        <f t="shared" si="0"/>
        <v>6</v>
      </c>
      <c r="C12" s="29" t="s">
        <v>189</v>
      </c>
      <c r="D12" s="111">
        <f>('[4]CWIP STATEMENT'!$E$9)/10000000</f>
        <v>0</v>
      </c>
      <c r="E12" s="111">
        <f>('[4]CWIP STATEMENT'!$E$9)/10000000</f>
        <v>0</v>
      </c>
      <c r="F12" s="111">
        <f>('[4]CWIP STATEMENT'!$E$9)/10000000</f>
        <v>0</v>
      </c>
      <c r="G12" s="111">
        <f>('[4]CWIP STATEMENT'!$E$9)/10000000</f>
        <v>0</v>
      </c>
      <c r="H12" s="111">
        <f>('[4]CWIP STATEMENT'!$E$9)/10000000</f>
        <v>0</v>
      </c>
      <c r="I12" s="111">
        <f>('[4]CWIP STATEMENT'!$E$9)/10000000</f>
        <v>0</v>
      </c>
      <c r="J12" s="111">
        <f>('[4]CWIP STATEMENT'!$E$9)/10000000</f>
        <v>0</v>
      </c>
      <c r="K12" s="111">
        <f>('[4]CWIP STATEMENT'!$E$9)/10000000</f>
        <v>0</v>
      </c>
      <c r="L12" s="111">
        <f>('[4]CWIP STATEMENT'!$E$9)/10000000</f>
        <v>0</v>
      </c>
      <c r="M12" s="111">
        <f>('[4]CWIP STATEMENT'!$E$9)/10000000</f>
        <v>0</v>
      </c>
      <c r="N12" s="111">
        <f>('[4]CWIP STATEMENT'!$E$9)/10000000</f>
        <v>0</v>
      </c>
      <c r="O12" s="4"/>
      <c r="P12" s="4"/>
      <c r="Q12" s="4"/>
      <c r="R12" s="4"/>
      <c r="S12" s="4"/>
      <c r="T12" s="4"/>
    </row>
    <row r="13" spans="2:20" s="24" customFormat="1" ht="15">
      <c r="B13" s="288">
        <f t="shared" si="0"/>
        <v>7</v>
      </c>
      <c r="C13" s="44" t="s">
        <v>190</v>
      </c>
      <c r="D13" s="111">
        <f>('[4]CWIP STATEMENT'!$E$9)/10000000</f>
        <v>0</v>
      </c>
      <c r="E13" s="111">
        <f>('[4]CWIP STATEMENT'!$E$9)/10000000</f>
        <v>0</v>
      </c>
      <c r="F13" s="111">
        <f>('[4]CWIP STATEMENT'!$E$9)/10000000</f>
        <v>0</v>
      </c>
      <c r="G13" s="111">
        <f>('[4]CWIP STATEMENT'!$E$9)/10000000</f>
        <v>0</v>
      </c>
      <c r="H13" s="111">
        <f>('[4]CWIP STATEMENT'!$E$9)/10000000</f>
        <v>0</v>
      </c>
      <c r="I13" s="111">
        <f>('[4]CWIP STATEMENT'!$E$9)/10000000</f>
        <v>0</v>
      </c>
      <c r="J13" s="111">
        <f>('[4]CWIP STATEMENT'!$E$9)/10000000</f>
        <v>0</v>
      </c>
      <c r="K13" s="111">
        <f>('[4]CWIP STATEMENT'!$E$9)/10000000</f>
        <v>0</v>
      </c>
      <c r="L13" s="111">
        <f>('[4]CWIP STATEMENT'!$E$9)/10000000</f>
        <v>0</v>
      </c>
      <c r="M13" s="111">
        <f>('[4]CWIP STATEMENT'!$E$9)/10000000</f>
        <v>0</v>
      </c>
      <c r="N13" s="111">
        <f>('[4]CWIP STATEMENT'!$E$9)/10000000</f>
        <v>0</v>
      </c>
      <c r="O13" s="4"/>
      <c r="P13" s="4"/>
      <c r="Q13" s="4"/>
      <c r="R13" s="4"/>
      <c r="S13" s="4"/>
      <c r="T13" s="4"/>
    </row>
    <row r="14" spans="2:20" s="24" customFormat="1" ht="15">
      <c r="B14" s="288">
        <f t="shared" si="0"/>
        <v>8</v>
      </c>
      <c r="C14" s="29" t="s">
        <v>220</v>
      </c>
      <c r="D14" s="111">
        <f>('[4]CWIP STATEMENT'!$E$9)/10000000</f>
        <v>0</v>
      </c>
      <c r="E14" s="111">
        <f>('[4]CWIP STATEMENT'!$E$9)/10000000</f>
        <v>0</v>
      </c>
      <c r="F14" s="111">
        <f>('[4]CWIP STATEMENT'!$E$9)/10000000</f>
        <v>0</v>
      </c>
      <c r="G14" s="111">
        <f>('[4]CWIP STATEMENT'!$E$9)/10000000</f>
        <v>0</v>
      </c>
      <c r="H14" s="111">
        <f>('[4]CWIP STATEMENT'!$E$9)/10000000</f>
        <v>0</v>
      </c>
      <c r="I14" s="111">
        <f>('[4]CWIP STATEMENT'!$E$9)/10000000</f>
        <v>0</v>
      </c>
      <c r="J14" s="111">
        <f>('[4]CWIP STATEMENT'!$E$9)/10000000</f>
        <v>0</v>
      </c>
      <c r="K14" s="111">
        <f>('[4]CWIP STATEMENT'!$E$9)/10000000</f>
        <v>0</v>
      </c>
      <c r="L14" s="111">
        <f>('[4]CWIP STATEMENT'!$E$9)/10000000</f>
        <v>0</v>
      </c>
      <c r="M14" s="111">
        <f>('[4]CWIP STATEMENT'!$E$9)/10000000</f>
        <v>0</v>
      </c>
      <c r="N14" s="111">
        <f>('[4]CWIP STATEMENT'!$E$9)/10000000</f>
        <v>0</v>
      </c>
      <c r="O14" s="4"/>
      <c r="P14" s="4"/>
      <c r="Q14" s="4"/>
      <c r="R14" s="4"/>
      <c r="S14" s="4"/>
      <c r="T14" s="4"/>
    </row>
    <row r="15" spans="2:20" ht="28.5">
      <c r="B15" s="288">
        <f t="shared" si="0"/>
        <v>9</v>
      </c>
      <c r="C15" s="44" t="s">
        <v>268</v>
      </c>
      <c r="D15" s="299">
        <v>1</v>
      </c>
      <c r="E15" s="300">
        <v>0.64</v>
      </c>
      <c r="F15" s="300">
        <f>E15-D15</f>
        <v>-0.36</v>
      </c>
      <c r="G15" s="300">
        <v>0.5</v>
      </c>
      <c r="H15" s="300">
        <v>0.1</v>
      </c>
      <c r="I15" s="300">
        <v>0.4</v>
      </c>
      <c r="J15" s="300">
        <v>0.5</v>
      </c>
      <c r="K15" s="300">
        <f>J15-G15</f>
        <v>0</v>
      </c>
      <c r="L15" s="300">
        <v>0.5</v>
      </c>
      <c r="M15" s="300">
        <v>0.5</v>
      </c>
      <c r="N15" s="301">
        <f>M15-L15</f>
        <v>0</v>
      </c>
      <c r="O15" s="4"/>
      <c r="P15" s="4"/>
      <c r="Q15" s="4"/>
      <c r="R15" s="4"/>
      <c r="S15" s="4"/>
      <c r="T15" s="4"/>
    </row>
    <row r="16" spans="2:20" ht="15.75">
      <c r="B16" s="288"/>
      <c r="C16" s="286" t="s">
        <v>107</v>
      </c>
      <c r="D16" s="302">
        <v>1</v>
      </c>
      <c r="E16" s="110">
        <f>SUM(E7:E15)</f>
        <v>0.64</v>
      </c>
      <c r="F16" s="106">
        <f>E16-D16</f>
        <v>-0.36</v>
      </c>
      <c r="G16" s="106">
        <v>0.5</v>
      </c>
      <c r="H16" s="110">
        <f t="shared" ref="H16:M16" si="1">SUM(H7:H15)</f>
        <v>0.1</v>
      </c>
      <c r="I16" s="110">
        <f t="shared" si="1"/>
        <v>0.4</v>
      </c>
      <c r="J16" s="110">
        <f t="shared" si="1"/>
        <v>0.5</v>
      </c>
      <c r="K16" s="106">
        <f>J16-G16</f>
        <v>0</v>
      </c>
      <c r="L16" s="106">
        <v>0.5</v>
      </c>
      <c r="M16" s="110">
        <f t="shared" si="1"/>
        <v>0.5</v>
      </c>
      <c r="N16" s="303">
        <f>M16-L16</f>
        <v>0</v>
      </c>
      <c r="O16" s="4"/>
      <c r="P16" s="4"/>
      <c r="Q16" s="4"/>
      <c r="R16" s="4"/>
      <c r="S16" s="4"/>
      <c r="T16" s="4"/>
    </row>
    <row r="17" spans="5:20"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5:20"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5:20"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</sheetData>
  <mergeCells count="8">
    <mergeCell ref="B4:B6"/>
    <mergeCell ref="C4:C6"/>
    <mergeCell ref="M3:N3"/>
    <mergeCell ref="G5:G6"/>
    <mergeCell ref="D4:F5"/>
    <mergeCell ref="G4:K4"/>
    <mergeCell ref="L4:N5"/>
    <mergeCell ref="K5:K6"/>
  </mergeCells>
  <pageMargins left="0.70866141732283472" right="0.23622047244094491" top="0.39370078740157483" bottom="0.98425196850393704" header="0.23622047244094491" footer="0.23622047244094491"/>
  <pageSetup paperSize="9" scale="81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K67"/>
  <sheetViews>
    <sheetView showGridLines="0" tabSelected="1" view="pageBreakPreview" zoomScale="70" zoomScaleNormal="80" zoomScaleSheetLayoutView="70" workbookViewId="0">
      <selection activeCell="S6" sqref="S6"/>
    </sheetView>
  </sheetViews>
  <sheetFormatPr defaultRowHeight="12.75"/>
  <cols>
    <col min="1" max="1" width="6.85546875" style="96" customWidth="1"/>
    <col min="2" max="2" width="44.85546875" style="74" bestFit="1" customWidth="1"/>
    <col min="3" max="3" width="9.7109375" style="74" customWidth="1"/>
    <col min="4" max="4" width="9.42578125" style="74" customWidth="1"/>
    <col min="5" max="5" width="11.28515625" style="100" customWidth="1"/>
    <col min="6" max="6" width="8.5703125" style="74" customWidth="1"/>
    <col min="7" max="7" width="11" style="74" customWidth="1"/>
    <col min="8" max="8" width="7.28515625" style="74" customWidth="1"/>
    <col min="9" max="9" width="9.85546875" style="74" bestFit="1" customWidth="1"/>
    <col min="10" max="10" width="16.5703125" style="74" customWidth="1"/>
    <col min="11" max="16384" width="9.140625" style="74"/>
  </cols>
  <sheetData>
    <row r="1" spans="1:10">
      <c r="A1" s="500" t="s">
        <v>218</v>
      </c>
      <c r="B1" s="500"/>
      <c r="C1" s="500"/>
      <c r="D1" s="500"/>
      <c r="E1" s="500"/>
      <c r="F1" s="500"/>
      <c r="G1" s="500"/>
      <c r="H1" s="500"/>
    </row>
    <row r="2" spans="1:10">
      <c r="A2" s="500" t="s">
        <v>222</v>
      </c>
      <c r="B2" s="500"/>
      <c r="C2" s="500"/>
      <c r="D2" s="500"/>
      <c r="E2" s="500"/>
      <c r="F2" s="500"/>
      <c r="G2" s="500"/>
      <c r="H2" s="500"/>
    </row>
    <row r="3" spans="1:10">
      <c r="A3" s="501" t="s">
        <v>269</v>
      </c>
      <c r="B3" s="501"/>
      <c r="C3" s="501"/>
      <c r="D3" s="501"/>
      <c r="E3" s="501"/>
      <c r="F3" s="501"/>
      <c r="G3" s="501"/>
      <c r="H3" s="501"/>
    </row>
    <row r="4" spans="1:10">
      <c r="A4" s="502" t="s">
        <v>8</v>
      </c>
      <c r="B4" s="502"/>
      <c r="C4" s="502"/>
      <c r="D4" s="502"/>
      <c r="E4" s="502"/>
      <c r="F4" s="503" t="s">
        <v>270</v>
      </c>
      <c r="G4" s="503"/>
      <c r="H4" s="503"/>
      <c r="I4" s="74">
        <v>10000000</v>
      </c>
    </row>
    <row r="5" spans="1:10" ht="51">
      <c r="A5" s="75" t="s">
        <v>271</v>
      </c>
      <c r="B5" s="75" t="s">
        <v>14</v>
      </c>
      <c r="C5" s="76" t="s">
        <v>227</v>
      </c>
      <c r="D5" s="76" t="s">
        <v>272</v>
      </c>
      <c r="E5" s="77" t="s">
        <v>273</v>
      </c>
      <c r="F5" s="497" t="s">
        <v>274</v>
      </c>
      <c r="G5" s="498"/>
      <c r="H5" s="499"/>
    </row>
    <row r="6" spans="1:10" ht="15" customHeight="1">
      <c r="A6" s="78"/>
      <c r="B6" s="79" t="s">
        <v>275</v>
      </c>
      <c r="C6" s="80"/>
      <c r="D6" s="80"/>
      <c r="E6" s="80"/>
      <c r="F6" s="81" t="s">
        <v>276</v>
      </c>
      <c r="G6" s="82" t="s">
        <v>277</v>
      </c>
      <c r="H6" s="83" t="s">
        <v>107</v>
      </c>
    </row>
    <row r="7" spans="1:10" ht="14.25">
      <c r="A7" s="78">
        <v>1</v>
      </c>
      <c r="B7" s="84" t="s">
        <v>278</v>
      </c>
      <c r="C7" s="80">
        <v>1446.74</v>
      </c>
      <c r="D7" s="80">
        <v>2949.8</v>
      </c>
      <c r="E7" s="85">
        <v>16154</v>
      </c>
      <c r="F7" s="80">
        <v>28.044765551999998</v>
      </c>
      <c r="G7" s="80">
        <f>(VLOOKUP(B7,[6]Sheet5!A1:B56,2,0))/10000000</f>
        <v>4.7651068710000004</v>
      </c>
      <c r="H7" s="86">
        <f>F7+G7</f>
        <v>32.809872423000002</v>
      </c>
      <c r="I7" s="87"/>
      <c r="J7" s="88">
        <v>280447655.51999998</v>
      </c>
    </row>
    <row r="8" spans="1:10" ht="14.25">
      <c r="A8" s="78">
        <v>2</v>
      </c>
      <c r="B8" s="84" t="s">
        <v>279</v>
      </c>
      <c r="C8" s="80">
        <v>1446.74</v>
      </c>
      <c r="D8" s="80">
        <v>2949.8</v>
      </c>
      <c r="E8" s="85">
        <v>6740</v>
      </c>
      <c r="F8" s="80">
        <v>11.701233119999999</v>
      </c>
      <c r="G8" s="80">
        <f>(VLOOKUP(B8,[6]Sheet5!A2:B57,2,0))/10000000</f>
        <v>1.9881652120000002</v>
      </c>
      <c r="H8" s="86">
        <f>F8+G8</f>
        <v>13.689398332</v>
      </c>
      <c r="I8" s="87"/>
      <c r="J8" s="88">
        <v>117012331.2</v>
      </c>
    </row>
    <row r="9" spans="1:10">
      <c r="A9" s="78"/>
      <c r="B9" s="89" t="s">
        <v>280</v>
      </c>
      <c r="C9" s="89"/>
      <c r="D9" s="89"/>
      <c r="E9" s="90"/>
      <c r="F9" s="80">
        <v>0</v>
      </c>
      <c r="G9" s="80">
        <v>0</v>
      </c>
      <c r="H9" s="91"/>
      <c r="I9" s="87"/>
      <c r="J9" s="88">
        <v>1092000</v>
      </c>
    </row>
    <row r="10" spans="1:10" ht="14.25">
      <c r="A10" s="78">
        <v>3</v>
      </c>
      <c r="B10" s="92" t="s">
        <v>281</v>
      </c>
      <c r="C10" s="80">
        <v>1446.74</v>
      </c>
      <c r="D10" s="80">
        <v>2949.8</v>
      </c>
      <c r="E10" s="85">
        <v>6</v>
      </c>
      <c r="F10" s="80">
        <v>1.0416528E-2</v>
      </c>
      <c r="G10" s="80">
        <f>(VLOOKUP(B10,[6]Sheet5!A1:B56,2,0))/10000000</f>
        <v>1.7735229999999999E-3</v>
      </c>
      <c r="H10" s="86">
        <f>F10+G10</f>
        <v>1.2190051E-2</v>
      </c>
      <c r="I10" s="87"/>
      <c r="J10" s="88">
        <v>1091000</v>
      </c>
    </row>
    <row r="11" spans="1:10" ht="14.25">
      <c r="A11" s="78">
        <v>4</v>
      </c>
      <c r="B11" s="92" t="s">
        <v>282</v>
      </c>
      <c r="C11" s="80">
        <v>1446.74</v>
      </c>
      <c r="D11" s="80">
        <v>2949.8</v>
      </c>
      <c r="E11" s="93">
        <v>2</v>
      </c>
      <c r="F11" s="80">
        <v>3.472176E-3</v>
      </c>
      <c r="G11" s="80">
        <f>(VLOOKUP(B11,[6]Sheet5!A2:B57,2,0))/10000000</f>
        <v>5.9117399999999997E-4</v>
      </c>
      <c r="H11" s="86">
        <f t="shared" ref="H11:H64" si="0">F11+G11</f>
        <v>4.0633500000000003E-3</v>
      </c>
      <c r="I11" s="87"/>
      <c r="J11" s="88">
        <v>1068000</v>
      </c>
    </row>
    <row r="12" spans="1:10" ht="14.25">
      <c r="A12" s="78">
        <v>5</v>
      </c>
      <c r="B12" s="92" t="s">
        <v>283</v>
      </c>
      <c r="C12" s="80">
        <v>1446.74</v>
      </c>
      <c r="D12" s="80">
        <v>2949.8</v>
      </c>
      <c r="E12" s="85">
        <v>2</v>
      </c>
      <c r="F12" s="80">
        <v>2.0254360000000003E-3</v>
      </c>
      <c r="G12" s="80">
        <f>(VLOOKUP(B12,[6]Sheet5!A3:B58,2,0))/10000000</f>
        <v>3.08719E-4</v>
      </c>
      <c r="H12" s="86">
        <f t="shared" si="0"/>
        <v>2.3341550000000001E-3</v>
      </c>
      <c r="I12" s="87"/>
      <c r="J12" s="88">
        <v>970000</v>
      </c>
    </row>
    <row r="13" spans="1:10" ht="14.25">
      <c r="A13" s="78">
        <v>6</v>
      </c>
      <c r="B13" s="92" t="s">
        <v>284</v>
      </c>
      <c r="C13" s="80">
        <v>1446.74</v>
      </c>
      <c r="D13" s="80">
        <v>2949.8</v>
      </c>
      <c r="E13" s="85">
        <v>5</v>
      </c>
      <c r="F13" s="80">
        <v>8.6804399999999993E-3</v>
      </c>
      <c r="G13" s="80">
        <f>(VLOOKUP(B13,[6]Sheet5!A4:B59,2,0))/10000000</f>
        <v>1.477936E-3</v>
      </c>
      <c r="H13" s="86">
        <f t="shared" si="0"/>
        <v>1.0158376E-2</v>
      </c>
      <c r="I13" s="87"/>
      <c r="J13" s="88">
        <v>849000</v>
      </c>
    </row>
    <row r="14" spans="1:10" ht="14.25">
      <c r="A14" s="78">
        <v>7</v>
      </c>
      <c r="B14" s="92" t="s">
        <v>285</v>
      </c>
      <c r="C14" s="80">
        <v>1446.74</v>
      </c>
      <c r="D14" s="80">
        <v>2949.8</v>
      </c>
      <c r="E14" s="85">
        <v>5</v>
      </c>
      <c r="F14" s="80">
        <v>7.2337E-3</v>
      </c>
      <c r="G14" s="80">
        <f>(VLOOKUP(B14,[6]Sheet5!A5:B60,2,0))/10000000</f>
        <v>1.1748749999999999E-3</v>
      </c>
      <c r="H14" s="86">
        <f t="shared" si="0"/>
        <v>8.4085749999999997E-3</v>
      </c>
      <c r="I14" s="87"/>
      <c r="J14" s="88">
        <v>741000</v>
      </c>
    </row>
    <row r="15" spans="1:10" ht="14.25">
      <c r="A15" s="78">
        <v>8</v>
      </c>
      <c r="B15" s="92" t="s">
        <v>286</v>
      </c>
      <c r="C15" s="80">
        <v>1446.74</v>
      </c>
      <c r="D15" s="80">
        <v>2949.8</v>
      </c>
      <c r="E15" s="85">
        <f>6+5</f>
        <v>11</v>
      </c>
      <c r="F15" s="80">
        <v>9.5484839999999994E-3</v>
      </c>
      <c r="G15" s="80">
        <f>(VLOOKUP(B15,[6]Sheet5!A6:B61,2,0))/10000000</f>
        <v>1.4827850000000001E-3</v>
      </c>
      <c r="H15" s="86">
        <f t="shared" si="0"/>
        <v>1.1031269E-2</v>
      </c>
      <c r="I15" s="87"/>
      <c r="J15" s="88">
        <v>273000</v>
      </c>
    </row>
    <row r="16" spans="1:10" ht="14.25">
      <c r="A16" s="78">
        <v>9</v>
      </c>
      <c r="B16" s="92" t="s">
        <v>287</v>
      </c>
      <c r="C16" s="80">
        <v>1446.74</v>
      </c>
      <c r="D16" s="80">
        <v>2949.8</v>
      </c>
      <c r="E16" s="94">
        <v>3</v>
      </c>
      <c r="F16" s="80">
        <v>5.2082639999999998E-3</v>
      </c>
      <c r="G16" s="80">
        <f>(VLOOKUP(B16,[6]Sheet5!A7:B62,2,0))/10000000</f>
        <v>8.8676100000000002E-4</v>
      </c>
      <c r="H16" s="86">
        <f t="shared" si="0"/>
        <v>6.0950249999999996E-3</v>
      </c>
      <c r="I16" s="87"/>
      <c r="J16" s="88">
        <v>261000</v>
      </c>
    </row>
    <row r="17" spans="1:11" ht="14.25">
      <c r="A17" s="78">
        <v>10</v>
      </c>
      <c r="B17" s="92" t="s">
        <v>288</v>
      </c>
      <c r="C17" s="80">
        <v>1446.74</v>
      </c>
      <c r="D17" s="80">
        <v>2949.8</v>
      </c>
      <c r="E17" s="85">
        <v>2</v>
      </c>
      <c r="F17" s="80">
        <v>2.6041319999999999E-3</v>
      </c>
      <c r="G17" s="80">
        <f>(VLOOKUP(B17,[6]Sheet5!A8:B63,2,0))/10000000</f>
        <v>4.2671099999999997E-4</v>
      </c>
      <c r="H17" s="86">
        <f t="shared" si="0"/>
        <v>3.0308430000000001E-3</v>
      </c>
      <c r="I17" s="87"/>
      <c r="J17" s="88">
        <v>255000</v>
      </c>
    </row>
    <row r="18" spans="1:11" ht="14.25">
      <c r="A18" s="78">
        <v>11</v>
      </c>
      <c r="B18" s="92" t="s">
        <v>289</v>
      </c>
      <c r="C18" s="80">
        <v>1446.74</v>
      </c>
      <c r="D18" s="80">
        <v>2949.8</v>
      </c>
      <c r="E18" s="85">
        <v>2</v>
      </c>
      <c r="F18" s="80">
        <v>1.1573919999999999E-3</v>
      </c>
      <c r="G18" s="80">
        <f>(VLOOKUP(B18,[6]Sheet5!A9:B64,2,0))/10000000</f>
        <v>1.9719200000000001E-4</v>
      </c>
      <c r="H18" s="86">
        <f t="shared" si="0"/>
        <v>1.3545839999999998E-3</v>
      </c>
      <c r="I18" s="87"/>
      <c r="J18" s="88">
        <v>222000</v>
      </c>
    </row>
    <row r="19" spans="1:11" ht="14.25">
      <c r="A19" s="78">
        <v>12</v>
      </c>
      <c r="B19" s="92" t="s">
        <v>290</v>
      </c>
      <c r="C19" s="80">
        <v>1446.74</v>
      </c>
      <c r="D19" s="80">
        <v>2949.8</v>
      </c>
      <c r="E19" s="85">
        <v>5</v>
      </c>
      <c r="F19" s="80">
        <v>8.6804399999999993E-3</v>
      </c>
      <c r="G19" s="80">
        <f>(VLOOKUP(B19,[6]Sheet5!A10:B65,2,0))/10000000</f>
        <v>1.421365E-3</v>
      </c>
      <c r="H19" s="86">
        <f t="shared" si="0"/>
        <v>1.0101804999999998E-2</v>
      </c>
      <c r="I19" s="87"/>
      <c r="J19" s="88">
        <v>185000</v>
      </c>
    </row>
    <row r="20" spans="1:11" ht="14.25">
      <c r="A20" s="78">
        <v>13</v>
      </c>
      <c r="B20" s="92" t="s">
        <v>291</v>
      </c>
      <c r="C20" s="80">
        <v>1446.74</v>
      </c>
      <c r="D20" s="80">
        <v>2949.8</v>
      </c>
      <c r="E20" s="85">
        <v>5</v>
      </c>
      <c r="F20" s="80">
        <v>8.6804399999999993E-3</v>
      </c>
      <c r="G20" s="80">
        <f>(VLOOKUP(B20,[6]Sheet5!A11:B66,2,0))/10000000</f>
        <v>1.477936E-3</v>
      </c>
      <c r="H20" s="86">
        <f t="shared" si="0"/>
        <v>1.0158376E-2</v>
      </c>
      <c r="I20" s="87"/>
      <c r="J20" s="88">
        <v>182000</v>
      </c>
    </row>
    <row r="21" spans="1:11" ht="14.25">
      <c r="A21" s="78">
        <v>14</v>
      </c>
      <c r="B21" s="92" t="s">
        <v>292</v>
      </c>
      <c r="C21" s="80">
        <v>1446.74</v>
      </c>
      <c r="D21" s="80">
        <v>2949.8</v>
      </c>
      <c r="E21" s="85">
        <v>16</v>
      </c>
      <c r="F21" s="80">
        <v>2.7777408E-2</v>
      </c>
      <c r="G21" s="80">
        <f>(VLOOKUP(B21,[6]Sheet5!A12:B67,2,0))/10000000</f>
        <v>4.6130199999999998E-3</v>
      </c>
      <c r="H21" s="86">
        <f t="shared" si="0"/>
        <v>3.2390427999999999E-2</v>
      </c>
      <c r="I21" s="87"/>
      <c r="J21" s="88">
        <v>125000</v>
      </c>
    </row>
    <row r="22" spans="1:11" ht="14.25">
      <c r="A22" s="78">
        <v>15</v>
      </c>
      <c r="B22" s="92" t="s">
        <v>293</v>
      </c>
      <c r="C22" s="80">
        <v>1446.74</v>
      </c>
      <c r="D22" s="80">
        <v>2949.8</v>
      </c>
      <c r="E22" s="85">
        <v>8</v>
      </c>
      <c r="F22" s="80">
        <v>1.3888704E-2</v>
      </c>
      <c r="G22" s="80">
        <f>(VLOOKUP(B22,[6]Sheet5!A13:B68,2,0))/10000000</f>
        <v>2.3646980000000001E-3</v>
      </c>
      <c r="H22" s="86">
        <f t="shared" si="0"/>
        <v>1.6253402E-2</v>
      </c>
      <c r="I22" s="87"/>
      <c r="J22" s="88">
        <v>84000</v>
      </c>
    </row>
    <row r="23" spans="1:11" ht="14.25">
      <c r="A23" s="78">
        <v>16</v>
      </c>
      <c r="B23" s="92" t="s">
        <v>294</v>
      </c>
      <c r="C23" s="80">
        <v>1446.74</v>
      </c>
      <c r="D23" s="80">
        <v>2949.8</v>
      </c>
      <c r="E23" s="85">
        <v>2</v>
      </c>
      <c r="F23" s="80">
        <v>2.8934799999999999E-3</v>
      </c>
      <c r="G23" s="80">
        <f>(VLOOKUP(B23,[6]Sheet5!A14:B69,2,0))/10000000</f>
        <v>4.7189300000000003E-4</v>
      </c>
      <c r="H23" s="86">
        <f t="shared" si="0"/>
        <v>3.3653730000000001E-3</v>
      </c>
      <c r="I23" s="87"/>
      <c r="J23" s="88">
        <v>82000</v>
      </c>
    </row>
    <row r="24" spans="1:11" ht="14.25">
      <c r="A24" s="78">
        <v>17</v>
      </c>
      <c r="B24" s="92" t="s">
        <v>295</v>
      </c>
      <c r="C24" s="80">
        <v>1446.74</v>
      </c>
      <c r="D24" s="80">
        <v>2949.8</v>
      </c>
      <c r="E24" s="85">
        <v>4</v>
      </c>
      <c r="F24" s="80">
        <v>6.944352E-3</v>
      </c>
      <c r="G24" s="80">
        <f>(VLOOKUP(B24,[6]Sheet5!A15:B70,2,0))/10000000</f>
        <v>1.1823490000000001E-3</v>
      </c>
      <c r="H24" s="86">
        <f t="shared" si="0"/>
        <v>8.1267010000000001E-3</v>
      </c>
      <c r="I24" s="87"/>
      <c r="J24" s="88">
        <v>132000</v>
      </c>
    </row>
    <row r="25" spans="1:11" ht="14.25">
      <c r="A25" s="78">
        <v>18</v>
      </c>
      <c r="B25" s="92" t="s">
        <v>296</v>
      </c>
      <c r="C25" s="80">
        <v>1446.74</v>
      </c>
      <c r="D25" s="80">
        <v>2949.8</v>
      </c>
      <c r="E25" s="85">
        <v>5</v>
      </c>
      <c r="F25" s="80">
        <v>8.6804399999999993E-3</v>
      </c>
      <c r="G25" s="80">
        <f>(VLOOKUP(B25,[6]Sheet5!A16:B71,2,0))/10000000</f>
        <v>1.477936E-3</v>
      </c>
      <c r="H25" s="86">
        <f t="shared" si="0"/>
        <v>1.0158376E-2</v>
      </c>
      <c r="I25" s="87"/>
      <c r="J25" s="88">
        <v>124000</v>
      </c>
      <c r="K25" s="95" t="s">
        <v>297</v>
      </c>
    </row>
    <row r="26" spans="1:11" ht="14.25">
      <c r="A26" s="78">
        <v>19</v>
      </c>
      <c r="B26" s="92" t="s">
        <v>298</v>
      </c>
      <c r="C26" s="80">
        <v>1446.74</v>
      </c>
      <c r="D26" s="80">
        <v>2949.8</v>
      </c>
      <c r="E26" s="85">
        <v>3</v>
      </c>
      <c r="F26" s="80">
        <v>5.2082639999999998E-3</v>
      </c>
      <c r="G26" s="80">
        <f>(VLOOKUP(B26,[6]Sheet5!A17:B72,2,0))/10000000</f>
        <v>8.8676100000000002E-4</v>
      </c>
      <c r="H26" s="86">
        <f t="shared" si="0"/>
        <v>6.0950249999999996E-3</v>
      </c>
      <c r="I26" s="87"/>
      <c r="J26" s="88">
        <v>120000</v>
      </c>
    </row>
    <row r="27" spans="1:11" ht="14.25">
      <c r="A27" s="78">
        <v>20</v>
      </c>
      <c r="B27" s="92" t="s">
        <v>299</v>
      </c>
      <c r="C27" s="80">
        <v>1446.74</v>
      </c>
      <c r="D27" s="80">
        <v>2949.8</v>
      </c>
      <c r="E27" s="85">
        <v>2</v>
      </c>
      <c r="F27" s="80">
        <v>3.182828E-3</v>
      </c>
      <c r="G27" s="80">
        <f>(VLOOKUP(B27,[6]Sheet5!A18:B73,2,0))/10000000</f>
        <v>5.2007799999999999E-4</v>
      </c>
      <c r="H27" s="86">
        <f t="shared" si="0"/>
        <v>3.7029059999999997E-3</v>
      </c>
      <c r="I27" s="87"/>
      <c r="J27" s="88">
        <v>57000</v>
      </c>
    </row>
    <row r="28" spans="1:11" ht="14.25">
      <c r="A28" s="78">
        <v>21</v>
      </c>
      <c r="B28" s="92" t="s">
        <v>300</v>
      </c>
      <c r="C28" s="80">
        <v>1446.74</v>
      </c>
      <c r="D28" s="80">
        <v>2949.8</v>
      </c>
      <c r="E28" s="85">
        <v>1</v>
      </c>
      <c r="F28" s="80">
        <v>1.1573919999999999E-3</v>
      </c>
      <c r="G28" s="80">
        <f>(VLOOKUP(B28,[6]Sheet5!A19:B74,2,0))/10000000</f>
        <v>1.93959E-4</v>
      </c>
      <c r="H28" s="86">
        <f t="shared" si="0"/>
        <v>1.351351E-3</v>
      </c>
      <c r="I28" s="87"/>
      <c r="J28" s="88">
        <v>53000</v>
      </c>
    </row>
    <row r="29" spans="1:11" ht="14.25">
      <c r="A29" s="78">
        <v>22</v>
      </c>
      <c r="B29" s="92" t="s">
        <v>301</v>
      </c>
      <c r="C29" s="80">
        <v>1446.74</v>
      </c>
      <c r="D29" s="80">
        <v>2949.8</v>
      </c>
      <c r="E29" s="85">
        <v>5</v>
      </c>
      <c r="F29" s="80">
        <v>5.0635899999999998E-3</v>
      </c>
      <c r="G29" s="80">
        <f>(VLOOKUP(B29,[6]Sheet5!A20:B75,2,0))/10000000</f>
        <v>8.0311899999999992E-4</v>
      </c>
      <c r="H29" s="86">
        <f t="shared" si="0"/>
        <v>5.8667089999999995E-3</v>
      </c>
      <c r="I29" s="87"/>
      <c r="J29" s="88">
        <v>122337</v>
      </c>
    </row>
    <row r="30" spans="1:11" ht="14.25">
      <c r="A30" s="78">
        <v>23</v>
      </c>
      <c r="B30" s="92" t="s">
        <v>302</v>
      </c>
      <c r="C30" s="80">
        <v>1446.74</v>
      </c>
      <c r="D30" s="80">
        <v>2949.8</v>
      </c>
      <c r="E30" s="85">
        <v>7</v>
      </c>
      <c r="F30" s="80">
        <v>1.2152616E-2</v>
      </c>
      <c r="G30" s="80">
        <f>(VLOOKUP(B30,[6]Sheet5!A21:B76,2,0))/10000000</f>
        <v>2.0691110000000002E-3</v>
      </c>
      <c r="H30" s="86">
        <f t="shared" si="0"/>
        <v>1.4221727E-2</v>
      </c>
      <c r="I30" s="87"/>
      <c r="J30" s="88">
        <v>42000</v>
      </c>
    </row>
    <row r="31" spans="1:11" ht="14.25">
      <c r="A31" s="78">
        <v>24</v>
      </c>
      <c r="B31" s="92" t="s">
        <v>303</v>
      </c>
      <c r="C31" s="80">
        <v>1446.74</v>
      </c>
      <c r="D31" s="80">
        <v>2949.8</v>
      </c>
      <c r="E31" s="85">
        <v>1</v>
      </c>
      <c r="F31" s="80">
        <v>1.736088E-3</v>
      </c>
      <c r="G31" s="80">
        <f>(VLOOKUP(B31,[6]Sheet5!A22:B77,2,0))/10000000</f>
        <v>2.9558699999999999E-4</v>
      </c>
      <c r="H31" s="86">
        <f t="shared" si="0"/>
        <v>2.0316750000000001E-3</v>
      </c>
      <c r="I31" s="87"/>
      <c r="J31" s="88">
        <v>41000</v>
      </c>
    </row>
    <row r="32" spans="1:11" ht="14.25">
      <c r="A32" s="78">
        <v>25</v>
      </c>
      <c r="B32" s="92" t="s">
        <v>304</v>
      </c>
      <c r="C32" s="80">
        <v>1446.74</v>
      </c>
      <c r="D32" s="80">
        <v>2949.8</v>
      </c>
      <c r="E32" s="85">
        <v>9</v>
      </c>
      <c r="F32" s="80">
        <v>1.5624792000000002E-2</v>
      </c>
      <c r="G32" s="80">
        <f>(VLOOKUP(B32,[6]Sheet5!A23:B78,2,0))/10000000</f>
        <v>2.6602849999999996E-3</v>
      </c>
      <c r="H32" s="86">
        <f t="shared" si="0"/>
        <v>1.8285077E-2</v>
      </c>
      <c r="I32" s="87"/>
      <c r="J32" s="88">
        <v>677074.32</v>
      </c>
      <c r="K32" s="95" t="s">
        <v>305</v>
      </c>
    </row>
    <row r="33" spans="1:10" ht="14.25">
      <c r="A33" s="78">
        <v>26</v>
      </c>
      <c r="B33" s="92" t="s">
        <v>306</v>
      </c>
      <c r="C33" s="80">
        <v>1446.74</v>
      </c>
      <c r="D33" s="80">
        <v>2949.8</v>
      </c>
      <c r="E33" s="85">
        <v>4</v>
      </c>
      <c r="F33" s="80">
        <v>3.472176E-3</v>
      </c>
      <c r="G33" s="80">
        <f>(VLOOKUP(B33,[6]Sheet5!A24:B79,2,0))/10000000</f>
        <v>5.4631899999999997E-4</v>
      </c>
      <c r="H33" s="86">
        <f t="shared" si="0"/>
        <v>4.0184950000000004E-3</v>
      </c>
      <c r="I33" s="87"/>
      <c r="J33" s="88">
        <v>642352.56000000006</v>
      </c>
    </row>
    <row r="34" spans="1:10" ht="14.25">
      <c r="A34" s="78">
        <v>27</v>
      </c>
      <c r="B34" s="92" t="s">
        <v>307</v>
      </c>
      <c r="C34" s="80">
        <v>1446.74</v>
      </c>
      <c r="D34" s="80">
        <v>2949.8</v>
      </c>
      <c r="E34" s="85">
        <v>5</v>
      </c>
      <c r="F34" s="80">
        <v>6.5103299999999999E-3</v>
      </c>
      <c r="G34" s="80">
        <f>(VLOOKUP(B34,[6]Sheet5!A25:B80,2,0))/10000000</f>
        <v>1.0374870000000001E-3</v>
      </c>
      <c r="H34" s="86">
        <f t="shared" si="0"/>
        <v>7.5478170000000001E-3</v>
      </c>
      <c r="I34" s="87"/>
      <c r="J34" s="88">
        <v>124000</v>
      </c>
    </row>
    <row r="35" spans="1:10" ht="14.25">
      <c r="A35" s="78">
        <v>28</v>
      </c>
      <c r="B35" s="92" t="s">
        <v>308</v>
      </c>
      <c r="C35" s="80">
        <v>1446.74</v>
      </c>
      <c r="D35" s="80">
        <v>2949.8</v>
      </c>
      <c r="E35" s="85">
        <v>15</v>
      </c>
      <c r="F35" s="80">
        <v>2.604132E-2</v>
      </c>
      <c r="G35" s="80">
        <f>(VLOOKUP(B35,[6]Sheet5!A26:B81,2,0))/10000000</f>
        <v>4.433808E-3</v>
      </c>
      <c r="H35" s="86">
        <f t="shared" si="0"/>
        <v>3.0475128000000001E-2</v>
      </c>
      <c r="I35" s="87"/>
      <c r="J35" s="88">
        <v>694644.6</v>
      </c>
    </row>
    <row r="36" spans="1:10" ht="14.25">
      <c r="A36" s="78">
        <v>29</v>
      </c>
      <c r="B36" s="92" t="s">
        <v>309</v>
      </c>
      <c r="C36" s="80">
        <v>1446.74</v>
      </c>
      <c r="D36" s="80">
        <v>2949.8</v>
      </c>
      <c r="E36" s="85">
        <v>15</v>
      </c>
      <c r="F36" s="80">
        <v>2.604132E-2</v>
      </c>
      <c r="G36" s="80">
        <f>(VLOOKUP(B36,[6]Sheet5!A27:B82,2,0))/10000000</f>
        <v>4.433808E-3</v>
      </c>
      <c r="H36" s="86">
        <f t="shared" si="0"/>
        <v>3.0475128000000001E-2</v>
      </c>
      <c r="I36" s="87"/>
      <c r="J36" s="88">
        <v>116000</v>
      </c>
    </row>
    <row r="37" spans="1:10" ht="14.25">
      <c r="A37" s="78">
        <v>30</v>
      </c>
      <c r="B37" s="92" t="s">
        <v>310</v>
      </c>
      <c r="C37" s="80">
        <v>1446.74</v>
      </c>
      <c r="D37" s="80">
        <v>2949.8</v>
      </c>
      <c r="E37" s="85">
        <v>3</v>
      </c>
      <c r="F37" s="80">
        <v>5.2082639999999998E-3</v>
      </c>
      <c r="G37" s="80">
        <f>(VLOOKUP(B37,[6]Sheet5!A28:B83,2,0))/10000000</f>
        <v>8.8676100000000002E-4</v>
      </c>
      <c r="H37" s="86">
        <f t="shared" si="0"/>
        <v>6.0950249999999996E-3</v>
      </c>
      <c r="I37" s="87"/>
      <c r="J37" s="88">
        <v>54000</v>
      </c>
    </row>
    <row r="38" spans="1:10" ht="14.25">
      <c r="A38" s="78">
        <v>31</v>
      </c>
      <c r="B38" s="92" t="s">
        <v>311</v>
      </c>
      <c r="C38" s="80">
        <v>1446.74</v>
      </c>
      <c r="D38" s="80">
        <v>2949.8</v>
      </c>
      <c r="E38" s="85">
        <v>9</v>
      </c>
      <c r="F38" s="80">
        <v>1.5624792000000002E-2</v>
      </c>
      <c r="G38" s="80">
        <f>(VLOOKUP(B38,[6]Sheet5!A29:B84,2,0))/10000000</f>
        <v>2.6602849999999996E-3</v>
      </c>
      <c r="H38" s="86">
        <f t="shared" si="0"/>
        <v>1.8285077E-2</v>
      </c>
      <c r="I38" s="87"/>
      <c r="J38" s="88">
        <v>24000</v>
      </c>
    </row>
    <row r="39" spans="1:10" ht="14.25">
      <c r="A39" s="78">
        <v>32</v>
      </c>
      <c r="B39" s="92" t="s">
        <v>312</v>
      </c>
      <c r="C39" s="80">
        <v>1446.74</v>
      </c>
      <c r="D39" s="80">
        <v>2949.8</v>
      </c>
      <c r="E39" s="85">
        <v>2</v>
      </c>
      <c r="F39" s="80">
        <v>3.472176E-3</v>
      </c>
      <c r="G39" s="80">
        <f>(VLOOKUP(B39,[6]Sheet5!A30:B85,2,0))/10000000</f>
        <v>5.9117399999999997E-4</v>
      </c>
      <c r="H39" s="86">
        <f t="shared" si="0"/>
        <v>4.0633500000000003E-3</v>
      </c>
      <c r="I39" s="87"/>
      <c r="J39" s="88">
        <v>19000</v>
      </c>
    </row>
    <row r="40" spans="1:10" ht="14.25">
      <c r="A40" s="78">
        <v>33</v>
      </c>
      <c r="B40" s="84" t="s">
        <v>313</v>
      </c>
      <c r="C40" s="80">
        <v>1446.74</v>
      </c>
      <c r="D40" s="80">
        <v>2949.8</v>
      </c>
      <c r="E40" s="85">
        <v>10</v>
      </c>
      <c r="F40" s="80">
        <v>1.7360879999999999E-2</v>
      </c>
      <c r="G40" s="80">
        <f>(VLOOKUP(B40,[6]Sheet5!A31:B86,2,0))/10000000</f>
        <v>2.955872E-3</v>
      </c>
      <c r="H40" s="86">
        <f t="shared" si="0"/>
        <v>2.0316752E-2</v>
      </c>
      <c r="I40" s="87"/>
      <c r="J40" s="88">
        <v>18000</v>
      </c>
    </row>
    <row r="41" spans="1:10" ht="14.25">
      <c r="A41" s="78">
        <v>34</v>
      </c>
      <c r="B41" s="84" t="s">
        <v>314</v>
      </c>
      <c r="C41" s="80">
        <v>1446.74</v>
      </c>
      <c r="D41" s="80">
        <v>2949.8</v>
      </c>
      <c r="E41" s="85">
        <v>2</v>
      </c>
      <c r="F41" s="80">
        <v>3.472176E-3</v>
      </c>
      <c r="G41" s="80">
        <f>(VLOOKUP(B41,[6]Sheet5!A32:B87,2,0))/10000000</f>
        <v>5.9117399999999997E-4</v>
      </c>
      <c r="H41" s="86">
        <f t="shared" si="0"/>
        <v>4.0633500000000003E-3</v>
      </c>
      <c r="I41" s="87"/>
      <c r="J41" s="88">
        <v>781239.6</v>
      </c>
    </row>
    <row r="42" spans="1:10" ht="14.25">
      <c r="A42" s="78">
        <v>35</v>
      </c>
      <c r="B42" s="84" t="s">
        <v>315</v>
      </c>
      <c r="C42" s="80">
        <v>1446.74</v>
      </c>
      <c r="D42" s="80">
        <v>2949.8</v>
      </c>
      <c r="E42" s="85">
        <v>7</v>
      </c>
      <c r="F42" s="80">
        <v>1.2152616E-2</v>
      </c>
      <c r="G42" s="80">
        <f>(VLOOKUP(B42,[6]Sheet5!A33:B88,2,0))/10000000</f>
        <v>2.0691110000000002E-3</v>
      </c>
      <c r="H42" s="86">
        <f t="shared" si="0"/>
        <v>1.4221727E-2</v>
      </c>
      <c r="I42" s="87"/>
      <c r="J42" s="88">
        <v>33000</v>
      </c>
    </row>
    <row r="43" spans="1:10" ht="14.25">
      <c r="A43" s="78">
        <v>36</v>
      </c>
      <c r="B43" s="84" t="s">
        <v>316</v>
      </c>
      <c r="C43" s="80">
        <v>1446.74</v>
      </c>
      <c r="D43" s="80">
        <v>2949.8</v>
      </c>
      <c r="E43" s="85">
        <v>1</v>
      </c>
      <c r="F43" s="80">
        <v>1.736088E-3</v>
      </c>
      <c r="G43" s="80">
        <f>(VLOOKUP(B43,[6]Sheet5!A34:B89,2,0))/10000000</f>
        <v>2.89945E-4</v>
      </c>
      <c r="H43" s="86">
        <f t="shared" si="0"/>
        <v>2.026033E-3</v>
      </c>
      <c r="I43" s="87"/>
      <c r="J43" s="88">
        <v>888044.00000000105</v>
      </c>
    </row>
    <row r="44" spans="1:10" ht="14.25">
      <c r="A44" s="78">
        <v>37</v>
      </c>
      <c r="B44" s="84" t="s">
        <v>317</v>
      </c>
      <c r="C44" s="80">
        <v>1446.74</v>
      </c>
      <c r="D44" s="80">
        <v>2949.8</v>
      </c>
      <c r="E44" s="85">
        <v>2</v>
      </c>
      <c r="F44" s="80">
        <v>3.472176E-3</v>
      </c>
      <c r="G44" s="80">
        <f>(VLOOKUP(B44,[6]Sheet5!A35:B90,2,0))/10000000</f>
        <v>5.9117399999999997E-4</v>
      </c>
      <c r="H44" s="86">
        <f t="shared" si="0"/>
        <v>4.0633500000000003E-3</v>
      </c>
      <c r="I44" s="87"/>
      <c r="J44" s="88">
        <v>312495.84000000003</v>
      </c>
    </row>
    <row r="45" spans="1:10" ht="14.25">
      <c r="A45" s="78">
        <v>38</v>
      </c>
      <c r="B45" s="84" t="s">
        <v>318</v>
      </c>
      <c r="C45" s="80">
        <v>1446.74</v>
      </c>
      <c r="D45" s="80">
        <v>2949.8</v>
      </c>
      <c r="E45" s="85">
        <v>3</v>
      </c>
      <c r="F45" s="80">
        <v>5.2082639999999998E-3</v>
      </c>
      <c r="G45" s="80">
        <f>(VLOOKUP(B45,[6]Sheet5!A36:B91,2,0))/10000000</f>
        <v>8.8676100000000002E-4</v>
      </c>
      <c r="H45" s="86">
        <f t="shared" si="0"/>
        <v>6.0950249999999996E-3</v>
      </c>
      <c r="I45" s="87"/>
      <c r="J45" s="88">
        <v>555548.16000000003</v>
      </c>
    </row>
    <row r="46" spans="1:10" ht="14.25">
      <c r="A46" s="78">
        <v>39</v>
      </c>
      <c r="B46" s="84" t="s">
        <v>319</v>
      </c>
      <c r="C46" s="80">
        <v>1446.74</v>
      </c>
      <c r="D46" s="80">
        <v>2949.8</v>
      </c>
      <c r="E46" s="85">
        <v>20</v>
      </c>
      <c r="F46" s="80">
        <v>3.4721759999999997E-2</v>
      </c>
      <c r="G46" s="80">
        <f>(VLOOKUP(B46,[6]Sheet5!A37:B92,2,0))/10000000</f>
        <v>5.911744E-3</v>
      </c>
      <c r="H46" s="86">
        <f t="shared" si="0"/>
        <v>4.0633504000000001E-2</v>
      </c>
      <c r="I46" s="87"/>
      <c r="J46" s="88">
        <v>303815.40000000002</v>
      </c>
    </row>
    <row r="47" spans="1:10" ht="14.25">
      <c r="A47" s="78">
        <v>40</v>
      </c>
      <c r="B47" s="84" t="s">
        <v>320</v>
      </c>
      <c r="C47" s="80">
        <v>1446.74</v>
      </c>
      <c r="D47" s="80">
        <v>2949.8</v>
      </c>
      <c r="E47" s="85">
        <v>1</v>
      </c>
      <c r="F47" s="80">
        <v>1.0127180000000001E-3</v>
      </c>
      <c r="G47" s="80">
        <f>(VLOOKUP(B47,[6]Sheet5!A38:B93,2,0))/10000000</f>
        <v>1.72139E-4</v>
      </c>
      <c r="H47" s="86">
        <f t="shared" si="0"/>
        <v>1.1848570000000001E-3</v>
      </c>
      <c r="I47" s="87"/>
      <c r="J47" s="88">
        <v>118845.72</v>
      </c>
    </row>
    <row r="48" spans="1:10" ht="14.25">
      <c r="A48" s="78">
        <v>41</v>
      </c>
      <c r="B48" s="84" t="s">
        <v>321</v>
      </c>
      <c r="C48" s="80">
        <v>1446.74</v>
      </c>
      <c r="D48" s="80">
        <v>2949.8</v>
      </c>
      <c r="E48" s="85">
        <v>5</v>
      </c>
      <c r="F48" s="80">
        <v>8.6804399999999993E-3</v>
      </c>
      <c r="G48" s="80">
        <f>(VLOOKUP(B48,[6]Sheet5!A39:B94,2,0))/10000000</f>
        <v>1.477936E-3</v>
      </c>
      <c r="H48" s="86">
        <f t="shared" si="0"/>
        <v>1.0158376E-2</v>
      </c>
      <c r="I48" s="87"/>
      <c r="J48" s="88">
        <v>831875.49999999895</v>
      </c>
    </row>
    <row r="49" spans="1:11" ht="14.25">
      <c r="A49" s="78">
        <v>42</v>
      </c>
      <c r="B49" s="84" t="s">
        <v>322</v>
      </c>
      <c r="C49" s="80">
        <v>1446.74</v>
      </c>
      <c r="D49" s="80">
        <v>2949.8</v>
      </c>
      <c r="E49" s="85">
        <v>2</v>
      </c>
      <c r="F49" s="80">
        <v>3.472176E-3</v>
      </c>
      <c r="G49" s="80">
        <f>(VLOOKUP(B49,[6]Sheet5!A40:B95,2,0))/10000000</f>
        <v>5.9117399999999997E-4</v>
      </c>
      <c r="H49" s="86">
        <f t="shared" si="0"/>
        <v>4.0633500000000003E-3</v>
      </c>
      <c r="I49" s="87"/>
      <c r="J49" s="88">
        <v>173608.8</v>
      </c>
    </row>
    <row r="50" spans="1:11" ht="14.25">
      <c r="A50" s="78">
        <v>43</v>
      </c>
      <c r="B50" s="84" t="s">
        <v>323</v>
      </c>
      <c r="C50" s="80">
        <v>1446.74</v>
      </c>
      <c r="D50" s="80">
        <v>2949.8</v>
      </c>
      <c r="E50" s="85">
        <v>3</v>
      </c>
      <c r="F50" s="80">
        <v>5.2082639999999998E-3</v>
      </c>
      <c r="G50" s="80">
        <f>(VLOOKUP(B50,[6]Sheet5!A41:B96,2,0))/10000000</f>
        <v>8.8676100000000002E-4</v>
      </c>
      <c r="H50" s="86">
        <f t="shared" si="0"/>
        <v>6.0950249999999996E-3</v>
      </c>
      <c r="I50" s="87"/>
      <c r="J50" s="88">
        <v>312495.84000000003</v>
      </c>
    </row>
    <row r="51" spans="1:11" ht="14.25">
      <c r="A51" s="78">
        <v>44</v>
      </c>
      <c r="B51" s="84" t="s">
        <v>324</v>
      </c>
      <c r="C51" s="80">
        <v>1446.74</v>
      </c>
      <c r="D51" s="80">
        <v>2949.8</v>
      </c>
      <c r="E51" s="85">
        <v>7</v>
      </c>
      <c r="F51" s="80">
        <v>6.0763079999999999E-3</v>
      </c>
      <c r="G51" s="80">
        <f>(VLOOKUP(B51,[6]Sheet5!A42:B97,2,0))/10000000</f>
        <v>9.9000100000000012E-4</v>
      </c>
      <c r="H51" s="86">
        <f t="shared" si="0"/>
        <v>7.0663089999999998E-3</v>
      </c>
      <c r="I51" s="87"/>
      <c r="J51" s="88">
        <v>358691.98</v>
      </c>
    </row>
    <row r="52" spans="1:11" ht="14.25">
      <c r="A52" s="78">
        <v>45</v>
      </c>
      <c r="B52" s="84" t="s">
        <v>325</v>
      </c>
      <c r="C52" s="80">
        <v>1446.74</v>
      </c>
      <c r="D52" s="80">
        <v>2949.8</v>
      </c>
      <c r="E52" s="85">
        <v>2</v>
      </c>
      <c r="F52" s="80">
        <v>2.8934799999999999E-3</v>
      </c>
      <c r="G52" s="80">
        <f>(VLOOKUP(B52,[6]Sheet5!A43:B98,2,0))/10000000</f>
        <v>4.6383299999999998E-4</v>
      </c>
      <c r="H52" s="86">
        <f t="shared" si="0"/>
        <v>3.3573129999999998E-3</v>
      </c>
      <c r="I52" s="87"/>
      <c r="J52" s="88">
        <v>120631.49</v>
      </c>
    </row>
    <row r="53" spans="1:11" ht="14.25">
      <c r="A53" s="78">
        <v>46</v>
      </c>
      <c r="B53" s="84" t="s">
        <v>326</v>
      </c>
      <c r="C53" s="80">
        <v>1446.74</v>
      </c>
      <c r="D53" s="80">
        <v>2949.8</v>
      </c>
      <c r="E53" s="85">
        <v>5</v>
      </c>
      <c r="F53" s="80">
        <v>8.6804399999999993E-3</v>
      </c>
      <c r="G53" s="80">
        <f>(VLOOKUP(B53,[6]Sheet5!A44:B99,2,0))/10000000</f>
        <v>1.453691E-3</v>
      </c>
      <c r="H53" s="86">
        <f t="shared" si="0"/>
        <v>1.0134130999999999E-2</v>
      </c>
      <c r="I53" s="87"/>
      <c r="J53" s="88">
        <v>41162791.210000001</v>
      </c>
    </row>
    <row r="54" spans="1:11" ht="14.25">
      <c r="A54" s="78">
        <v>47</v>
      </c>
      <c r="B54" s="84" t="s">
        <v>327</v>
      </c>
      <c r="C54" s="80">
        <v>1446.74</v>
      </c>
      <c r="D54" s="80">
        <v>2949.8</v>
      </c>
      <c r="E54" s="85">
        <v>1</v>
      </c>
      <c r="F54" s="80">
        <v>1.736088E-3</v>
      </c>
      <c r="G54" s="80">
        <f>(VLOOKUP(B54,[6]Sheet5!A45:B100,2,0))/10000000</f>
        <v>2.9558699999999999E-4</v>
      </c>
      <c r="H54" s="86">
        <f t="shared" si="0"/>
        <v>2.0316750000000001E-3</v>
      </c>
    </row>
    <row r="55" spans="1:11" ht="14.25">
      <c r="A55" s="78">
        <v>48</v>
      </c>
      <c r="B55" s="84" t="s">
        <v>328</v>
      </c>
      <c r="C55" s="80">
        <v>1446.74</v>
      </c>
      <c r="D55" s="80">
        <v>2949.8</v>
      </c>
      <c r="E55" s="85">
        <v>4</v>
      </c>
      <c r="F55" s="80">
        <v>6.944352E-3</v>
      </c>
      <c r="G55" s="80">
        <f>(VLOOKUP(B55,[6]Sheet5!A46:B101,2,0))/10000000</f>
        <v>1.1823490000000001E-3</v>
      </c>
      <c r="H55" s="86">
        <f t="shared" si="0"/>
        <v>8.1267010000000001E-3</v>
      </c>
    </row>
    <row r="56" spans="1:11" ht="14.25">
      <c r="A56" s="78">
        <v>49</v>
      </c>
      <c r="B56" s="84" t="s">
        <v>329</v>
      </c>
      <c r="C56" s="80">
        <v>1446.74</v>
      </c>
      <c r="D56" s="80">
        <v>2949.8</v>
      </c>
      <c r="E56" s="85">
        <f>30+37+39+15+10</f>
        <v>131</v>
      </c>
      <c r="F56" s="80">
        <v>0.38399761900000001</v>
      </c>
      <c r="G56" s="80">
        <f>(VLOOKUP(B56,[6]Sheet5!A47:B102,2,0))/10000000</f>
        <v>6.1581543999999995E-2</v>
      </c>
      <c r="H56" s="86">
        <f t="shared" si="0"/>
        <v>0.445579163</v>
      </c>
    </row>
    <row r="57" spans="1:11" ht="14.25">
      <c r="A57" s="78">
        <v>50</v>
      </c>
      <c r="B57" s="84" t="s">
        <v>330</v>
      </c>
      <c r="C57" s="80">
        <v>1446.74</v>
      </c>
      <c r="D57" s="80">
        <v>2949.8</v>
      </c>
      <c r="E57" s="85">
        <v>2</v>
      </c>
      <c r="F57" s="80">
        <v>3.7515699999999996E-3</v>
      </c>
      <c r="G57" s="80">
        <f>(VLOOKUP(B57,[6]Sheet5!A48:B103,2,0))/10000000</f>
        <v>6.6081800000000008E-4</v>
      </c>
      <c r="H57" s="86">
        <f t="shared" si="0"/>
        <v>4.4123879999999997E-3</v>
      </c>
    </row>
    <row r="58" spans="1:11" ht="14.25">
      <c r="A58" s="78">
        <v>51</v>
      </c>
      <c r="B58" s="84" t="s">
        <v>331</v>
      </c>
      <c r="C58" s="80">
        <v>1446.74</v>
      </c>
      <c r="D58" s="80">
        <v>2949.8</v>
      </c>
      <c r="E58" s="85">
        <v>10</v>
      </c>
      <c r="F58" s="80">
        <v>1.7360879999999999E-2</v>
      </c>
      <c r="G58" s="80">
        <f>(VLOOKUP(B58,[6]Sheet5!A49:B104,2,0))/10000000</f>
        <v>2.955872E-3</v>
      </c>
      <c r="H58" s="86">
        <f t="shared" si="0"/>
        <v>2.0316752E-2</v>
      </c>
    </row>
    <row r="59" spans="1:11" ht="14.25">
      <c r="A59" s="78">
        <v>52</v>
      </c>
      <c r="B59" s="84" t="s">
        <v>332</v>
      </c>
      <c r="C59" s="80">
        <v>1446.74</v>
      </c>
      <c r="D59" s="80">
        <v>2949.8</v>
      </c>
      <c r="E59" s="85">
        <v>1</v>
      </c>
      <c r="F59" s="80">
        <v>2.9933609999999999E-3</v>
      </c>
      <c r="G59" s="80">
        <f>(VLOOKUP(B59,[6]Sheet5!A50:B105,2,0))/10000000</f>
        <v>5.07615E-4</v>
      </c>
      <c r="H59" s="86">
        <f t="shared" si="0"/>
        <v>3.5009759999999998E-3</v>
      </c>
    </row>
    <row r="60" spans="1:11" ht="14.25">
      <c r="A60" s="78">
        <v>53</v>
      </c>
      <c r="B60" s="84" t="s">
        <v>333</v>
      </c>
      <c r="C60" s="80">
        <v>1446.74</v>
      </c>
      <c r="D60" s="80">
        <v>2949.8</v>
      </c>
      <c r="E60" s="85">
        <v>8</v>
      </c>
      <c r="F60" s="80">
        <v>1.3888704E-2</v>
      </c>
      <c r="G60" s="80">
        <f>(VLOOKUP(B60,[6]Sheet5!A51:B106,2,0))/10000000</f>
        <v>2.2418569999999999E-3</v>
      </c>
      <c r="H60" s="86">
        <f t="shared" si="0"/>
        <v>1.6130561000000002E-2</v>
      </c>
    </row>
    <row r="61" spans="1:11" ht="14.25">
      <c r="A61" s="78">
        <v>54</v>
      </c>
      <c r="B61" s="84" t="s">
        <v>334</v>
      </c>
      <c r="C61" s="80">
        <v>1446.74</v>
      </c>
      <c r="D61" s="80">
        <v>2949.8</v>
      </c>
      <c r="E61" s="85">
        <v>1</v>
      </c>
      <c r="F61" s="80">
        <v>1.591414E-3</v>
      </c>
      <c r="G61" s="80">
        <f>(VLOOKUP(B61,[6]Sheet5!A52:B107,2,0))/10000000</f>
        <v>2.5194600000000002E-4</v>
      </c>
      <c r="H61" s="86">
        <f t="shared" si="0"/>
        <v>1.8433600000000001E-3</v>
      </c>
    </row>
    <row r="62" spans="1:11" ht="14.25">
      <c r="A62" s="78">
        <v>55</v>
      </c>
      <c r="B62" s="84" t="s">
        <v>335</v>
      </c>
      <c r="C62" s="80">
        <v>1446.74</v>
      </c>
      <c r="D62" s="80">
        <v>2949.8</v>
      </c>
      <c r="E62" s="85">
        <v>3</v>
      </c>
      <c r="F62" s="80">
        <v>5.2082639999999998E-3</v>
      </c>
      <c r="G62" s="80">
        <f>(VLOOKUP(B62,[6]Sheet5!A53:B108,2,0))/10000000</f>
        <v>8.8676100000000002E-4</v>
      </c>
      <c r="H62" s="86">
        <f t="shared" si="0"/>
        <v>6.0950249999999996E-3</v>
      </c>
    </row>
    <row r="63" spans="1:11">
      <c r="A63" s="78">
        <v>56</v>
      </c>
      <c r="B63" s="84" t="s">
        <v>336</v>
      </c>
      <c r="C63" s="84"/>
      <c r="D63" s="84"/>
      <c r="E63" s="96"/>
      <c r="F63" s="80">
        <f>(7261337+262000)/10000000</f>
        <v>0.75233369999999999</v>
      </c>
      <c r="G63" s="80">
        <v>1.2492320000000001E-3</v>
      </c>
      <c r="H63" s="86">
        <f t="shared" si="0"/>
        <v>0.75358293200000004</v>
      </c>
    </row>
    <row r="64" spans="1:11">
      <c r="A64" s="78">
        <v>57</v>
      </c>
      <c r="B64" s="91" t="s">
        <v>337</v>
      </c>
      <c r="C64" s="91"/>
      <c r="D64" s="91"/>
      <c r="E64" s="90"/>
      <c r="F64" s="80">
        <f>(19000+530000+27000+118000+110000+219000+119000+11000)/10000000</f>
        <v>0.1153</v>
      </c>
      <c r="G64" s="80">
        <v>0</v>
      </c>
      <c r="H64" s="86">
        <f t="shared" si="0"/>
        <v>0.1153</v>
      </c>
      <c r="J64" s="74">
        <v>52.28</v>
      </c>
      <c r="K64" s="101">
        <f>J64-H65</f>
        <v>3.9685954310000113</v>
      </c>
    </row>
    <row r="65" spans="1:8">
      <c r="A65" s="78"/>
      <c r="B65" s="97" t="s">
        <v>338</v>
      </c>
      <c r="C65" s="98"/>
      <c r="D65" s="98"/>
      <c r="E65" s="99">
        <f>SUM(E7:E64)</f>
        <v>23289</v>
      </c>
      <c r="F65" s="99">
        <f>SUM(F7:F64)</f>
        <v>41.423640173999971</v>
      </c>
      <c r="G65" s="99">
        <f>SUM(G7:G64)</f>
        <v>6.8877643950000014</v>
      </c>
      <c r="H65" s="99">
        <f>SUM(H7:H64)</f>
        <v>48.31140456899999</v>
      </c>
    </row>
    <row r="66" spans="1:8">
      <c r="F66" s="100"/>
      <c r="G66" s="100"/>
    </row>
    <row r="67" spans="1:8">
      <c r="G67" s="101">
        <f>G65-G66</f>
        <v>6.8877643950000014</v>
      </c>
    </row>
  </sheetData>
  <mergeCells count="6">
    <mergeCell ref="F5:H5"/>
    <mergeCell ref="A1:H1"/>
    <mergeCell ref="A2:H2"/>
    <mergeCell ref="A3:H3"/>
    <mergeCell ref="A4:E4"/>
    <mergeCell ref="F4:H4"/>
  </mergeCells>
  <pageMargins left="0.39370078740157483" right="0.23622047244094491" top="0.27559055118110237" bottom="0.49" header="0.19685039370078741" footer="0.27559055118110237"/>
  <pageSetup paperSize="9" scale="8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1:N18"/>
  <sheetViews>
    <sheetView showGridLines="0" view="pageBreakPreview" topLeftCell="B1" zoomScale="80" zoomScaleNormal="80" zoomScaleSheetLayoutView="80" workbookViewId="0">
      <selection activeCell="N21" sqref="N21"/>
    </sheetView>
  </sheetViews>
  <sheetFormatPr defaultColWidth="9.140625" defaultRowHeight="14.25"/>
  <cols>
    <col min="1" max="1" width="6.85546875" style="15" hidden="1" customWidth="1"/>
    <col min="2" max="2" width="7.28515625" style="15" customWidth="1"/>
    <col min="3" max="3" width="49" style="15" customWidth="1"/>
    <col min="4" max="5" width="13.85546875" style="15" customWidth="1"/>
    <col min="6" max="6" width="11.7109375" style="15" customWidth="1"/>
    <col min="7" max="7" width="11" style="15" customWidth="1"/>
    <col min="8" max="8" width="14.42578125" style="15" customWidth="1"/>
    <col min="9" max="9" width="13.85546875" style="15" customWidth="1"/>
    <col min="10" max="10" width="16" style="15" customWidth="1"/>
    <col min="11" max="11" width="21" style="15" customWidth="1"/>
    <col min="12" max="12" width="11.7109375" style="15" customWidth="1"/>
    <col min="13" max="13" width="11" style="15" customWidth="1"/>
    <col min="14" max="14" width="13.85546875" style="15" customWidth="1"/>
    <col min="15" max="15" width="16" style="15" customWidth="1"/>
    <col min="16" max="16384" width="9.140625" style="15"/>
  </cols>
  <sheetData>
    <row r="1" spans="2:14" s="4" customFormat="1" ht="15.6" customHeight="1">
      <c r="B1" s="50"/>
      <c r="C1" s="51"/>
      <c r="D1" s="51"/>
      <c r="E1" s="51"/>
      <c r="F1" s="51"/>
      <c r="G1" s="25" t="s">
        <v>218</v>
      </c>
      <c r="H1" s="51"/>
      <c r="I1" s="51"/>
      <c r="J1" s="51"/>
      <c r="K1" s="47"/>
      <c r="L1" s="47"/>
      <c r="M1" s="47"/>
      <c r="N1" s="47"/>
    </row>
    <row r="2" spans="2:14" ht="15">
      <c r="G2" s="27" t="s">
        <v>223</v>
      </c>
    </row>
    <row r="3" spans="2:14" ht="15">
      <c r="B3" s="20" t="s">
        <v>339</v>
      </c>
      <c r="K3" s="21" t="s">
        <v>3</v>
      </c>
    </row>
    <row r="4" spans="2:14" ht="45">
      <c r="B4" s="43" t="s">
        <v>126</v>
      </c>
      <c r="C4" s="42" t="s">
        <v>14</v>
      </c>
      <c r="D4" s="17" t="s">
        <v>196</v>
      </c>
      <c r="E4" s="17" t="s">
        <v>195</v>
      </c>
      <c r="F4" s="17" t="s">
        <v>2</v>
      </c>
      <c r="G4" s="17" t="s">
        <v>108</v>
      </c>
      <c r="H4" s="17" t="s">
        <v>123</v>
      </c>
      <c r="I4" s="287" t="s">
        <v>109</v>
      </c>
      <c r="J4" s="17" t="s">
        <v>110</v>
      </c>
      <c r="K4" s="17" t="s">
        <v>134</v>
      </c>
    </row>
    <row r="5" spans="2:14" ht="15">
      <c r="B5" s="16" t="s">
        <v>37</v>
      </c>
      <c r="C5" s="52" t="s">
        <v>191</v>
      </c>
      <c r="D5" s="19"/>
      <c r="E5" s="19"/>
      <c r="F5" s="19"/>
      <c r="G5" s="19"/>
      <c r="H5" s="19"/>
      <c r="I5" s="19"/>
      <c r="J5" s="19"/>
      <c r="K5" s="3"/>
    </row>
    <row r="6" spans="2:14" ht="15.75">
      <c r="B6" s="2"/>
      <c r="C6" s="3" t="s">
        <v>29</v>
      </c>
      <c r="D6" s="304">
        <v>41.47</v>
      </c>
      <c r="E6" s="307">
        <f>'F1'!G7</f>
        <v>54.428217142000001</v>
      </c>
      <c r="F6" s="305">
        <v>54.435306542000006</v>
      </c>
      <c r="G6" s="103">
        <f>E6-D6</f>
        <v>12.958217142000002</v>
      </c>
      <c r="H6" s="3"/>
      <c r="I6" s="3"/>
      <c r="J6" s="3"/>
      <c r="K6" s="3"/>
    </row>
    <row r="7" spans="2:14" ht="15.75">
      <c r="B7" s="2"/>
      <c r="C7" s="18" t="s">
        <v>112</v>
      </c>
      <c r="D7" s="304">
        <v>6.88</v>
      </c>
      <c r="E7" s="306">
        <f>+'F4'!K11</f>
        <v>1.585951095</v>
      </c>
      <c r="F7" s="305">
        <v>1.59</v>
      </c>
      <c r="G7" s="289">
        <f t="shared" ref="G7:G18" si="0">E7-D7</f>
        <v>-5.2940489050000004</v>
      </c>
      <c r="H7" s="3"/>
      <c r="I7" s="3"/>
      <c r="J7" s="3"/>
      <c r="K7" s="3"/>
    </row>
    <row r="8" spans="2:14" ht="15.75">
      <c r="B8" s="2"/>
      <c r="C8" s="3" t="s">
        <v>141</v>
      </c>
      <c r="D8" s="304">
        <v>0</v>
      </c>
      <c r="E8" s="102">
        <v>0</v>
      </c>
      <c r="F8" s="305">
        <v>0</v>
      </c>
      <c r="G8" s="103">
        <f t="shared" si="0"/>
        <v>0</v>
      </c>
      <c r="H8" s="3"/>
      <c r="I8" s="3"/>
      <c r="J8" s="3"/>
      <c r="K8" s="3"/>
    </row>
    <row r="9" spans="2:14" ht="15.75">
      <c r="B9" s="2"/>
      <c r="C9" s="18" t="s">
        <v>30</v>
      </c>
      <c r="D9" s="9">
        <v>0</v>
      </c>
      <c r="E9" s="102">
        <v>0</v>
      </c>
      <c r="F9" s="102">
        <v>0</v>
      </c>
      <c r="G9" s="103">
        <f t="shared" si="0"/>
        <v>0</v>
      </c>
      <c r="H9" s="3"/>
      <c r="I9" s="3"/>
      <c r="J9" s="3"/>
      <c r="K9" s="3"/>
    </row>
    <row r="10" spans="2:14" ht="15.75">
      <c r="B10" s="2"/>
      <c r="C10" s="3" t="s">
        <v>142</v>
      </c>
      <c r="D10" s="9">
        <v>0</v>
      </c>
      <c r="E10" s="102">
        <v>0</v>
      </c>
      <c r="F10" s="102">
        <v>0</v>
      </c>
      <c r="G10" s="103">
        <f t="shared" si="0"/>
        <v>0</v>
      </c>
      <c r="H10" s="3"/>
      <c r="I10" s="3"/>
      <c r="J10" s="3"/>
      <c r="K10" s="3"/>
    </row>
    <row r="11" spans="2:14" ht="15.75">
      <c r="B11" s="2"/>
      <c r="C11" s="3" t="s">
        <v>214</v>
      </c>
      <c r="D11" s="9"/>
      <c r="E11" s="9"/>
      <c r="F11" s="102"/>
      <c r="G11" s="103">
        <f t="shared" si="0"/>
        <v>0</v>
      </c>
      <c r="H11" s="3"/>
      <c r="I11" s="3"/>
      <c r="J11" s="3"/>
      <c r="K11" s="3"/>
    </row>
    <row r="12" spans="2:14" ht="15.75">
      <c r="B12" s="2"/>
      <c r="C12" s="3" t="s">
        <v>111</v>
      </c>
      <c r="D12" s="102">
        <v>1</v>
      </c>
      <c r="E12" s="9">
        <v>0.64</v>
      </c>
      <c r="F12" s="102">
        <v>0.64</v>
      </c>
      <c r="G12" s="103">
        <f t="shared" si="0"/>
        <v>-0.36</v>
      </c>
      <c r="H12" s="3"/>
      <c r="I12" s="3"/>
      <c r="J12" s="3"/>
      <c r="K12" s="3"/>
    </row>
    <row r="13" spans="2:14" ht="15.75">
      <c r="B13" s="2"/>
      <c r="C13" s="3" t="s">
        <v>210</v>
      </c>
      <c r="D13" s="9"/>
      <c r="E13" s="9"/>
      <c r="F13" s="102"/>
      <c r="G13" s="103"/>
      <c r="H13" s="3"/>
      <c r="I13" s="3"/>
      <c r="J13" s="3"/>
      <c r="K13" s="3"/>
    </row>
    <row r="14" spans="2:14" ht="15.75">
      <c r="B14" s="48"/>
      <c r="C14" s="52" t="s">
        <v>31</v>
      </c>
      <c r="D14" s="104">
        <f>SUM(D6:D10)-D12</f>
        <v>47.35</v>
      </c>
      <c r="E14" s="105">
        <f>SUM(E6:E10)-E12</f>
        <v>55.374168236999999</v>
      </c>
      <c r="F14" s="105">
        <v>55.38</v>
      </c>
      <c r="G14" s="103">
        <f t="shared" si="0"/>
        <v>8.0241682369999978</v>
      </c>
      <c r="H14" s="19"/>
      <c r="I14" s="19"/>
      <c r="J14" s="19"/>
      <c r="K14" s="3"/>
    </row>
    <row r="15" spans="2:14" ht="15.75">
      <c r="B15" s="16" t="s">
        <v>40</v>
      </c>
      <c r="C15" s="52" t="s">
        <v>194</v>
      </c>
      <c r="D15" s="9"/>
      <c r="E15" s="9"/>
      <c r="F15" s="102"/>
      <c r="G15" s="103"/>
      <c r="H15" s="3"/>
      <c r="I15" s="3"/>
      <c r="J15" s="3"/>
      <c r="K15" s="3"/>
    </row>
    <row r="16" spans="2:14" ht="15.75">
      <c r="B16" s="49"/>
      <c r="C16" s="46" t="s">
        <v>224</v>
      </c>
      <c r="D16" s="9">
        <v>47.35</v>
      </c>
      <c r="E16" s="9">
        <v>48.31</v>
      </c>
      <c r="F16" s="102">
        <v>48.31</v>
      </c>
      <c r="G16" s="103">
        <f t="shared" si="0"/>
        <v>0.96000000000000085</v>
      </c>
      <c r="H16" s="3"/>
      <c r="I16" s="3"/>
      <c r="J16" s="3"/>
      <c r="K16" s="3"/>
    </row>
    <row r="17" spans="2:11" ht="15.75">
      <c r="B17" s="48"/>
      <c r="C17" s="52" t="s">
        <v>192</v>
      </c>
      <c r="D17" s="104"/>
      <c r="E17" s="104"/>
      <c r="F17" s="105"/>
      <c r="G17" s="103"/>
      <c r="H17" s="19"/>
      <c r="I17" s="19"/>
      <c r="J17" s="19"/>
      <c r="K17" s="3"/>
    </row>
    <row r="18" spans="2:11" ht="15.75">
      <c r="B18" s="48" t="s">
        <v>41</v>
      </c>
      <c r="C18" s="52" t="s">
        <v>193</v>
      </c>
      <c r="D18" s="102">
        <f>D14-D16</f>
        <v>0</v>
      </c>
      <c r="E18" s="102">
        <f>E14-E16</f>
        <v>7.064168236999997</v>
      </c>
      <c r="F18" s="102">
        <f>7.06530654200001</f>
        <v>7.0653065420000098</v>
      </c>
      <c r="G18" s="103">
        <f t="shared" si="0"/>
        <v>7.064168236999997</v>
      </c>
      <c r="H18" s="3"/>
      <c r="I18" s="3"/>
      <c r="J18" s="3"/>
      <c r="K18" s="3"/>
    </row>
  </sheetData>
  <pageMargins left="0.75" right="0.27559055118110237" top="0.59055118110236227" bottom="0.98425196850393704" header="0.51181102362204722" footer="0.51181102362204722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22"/>
  <sheetViews>
    <sheetView showGridLines="0" topLeftCell="A3" zoomScale="80" zoomScaleNormal="80" zoomScaleSheetLayoutView="80" workbookViewId="0">
      <selection activeCell="I14" sqref="I14"/>
    </sheetView>
  </sheetViews>
  <sheetFormatPr defaultColWidth="9.140625" defaultRowHeight="15"/>
  <cols>
    <col min="1" max="1" width="6.28515625" style="6" customWidth="1"/>
    <col min="2" max="2" width="9.140625" style="6" customWidth="1"/>
    <col min="3" max="3" width="16.28515625" style="6" customWidth="1"/>
    <col min="4" max="4" width="75.855468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140625" style="6"/>
  </cols>
  <sheetData>
    <row r="2" spans="2:15" s="12" customFormat="1" ht="15.75" customHeight="1">
      <c r="C2" s="55"/>
      <c r="D2" s="54" t="s">
        <v>217</v>
      </c>
      <c r="E2" s="56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D3" s="41" t="s">
        <v>198</v>
      </c>
    </row>
    <row r="4" spans="2:15" ht="15.75">
      <c r="N4" s="7"/>
    </row>
    <row r="5" spans="2:15" ht="15.75">
      <c r="B5" s="13" t="s">
        <v>126</v>
      </c>
      <c r="C5" s="13" t="s">
        <v>197</v>
      </c>
      <c r="D5" s="14" t="s">
        <v>6</v>
      </c>
      <c r="E5" s="14" t="s">
        <v>199</v>
      </c>
    </row>
    <row r="6" spans="2:15">
      <c r="B6" s="8">
        <v>1</v>
      </c>
      <c r="C6" s="8" t="s">
        <v>5</v>
      </c>
      <c r="D6" s="9" t="s">
        <v>201</v>
      </c>
      <c r="E6" s="10"/>
    </row>
    <row r="7" spans="2:15">
      <c r="B7" s="8">
        <f>B6+1</f>
        <v>2</v>
      </c>
      <c r="C7" s="8" t="s">
        <v>160</v>
      </c>
      <c r="D7" s="9" t="s">
        <v>203</v>
      </c>
      <c r="E7" s="10"/>
    </row>
    <row r="8" spans="2:15">
      <c r="B8" s="8">
        <f>B7+1</f>
        <v>3</v>
      </c>
      <c r="C8" s="8" t="s">
        <v>20</v>
      </c>
      <c r="D8" s="9" t="s">
        <v>204</v>
      </c>
      <c r="E8" s="10"/>
    </row>
    <row r="9" spans="2:15">
      <c r="B9" s="8">
        <f>B8+1</f>
        <v>4</v>
      </c>
      <c r="C9" s="8" t="s">
        <v>21</v>
      </c>
      <c r="D9" s="9" t="s">
        <v>205</v>
      </c>
      <c r="E9" s="10"/>
    </row>
    <row r="10" spans="2:15">
      <c r="B10" s="8">
        <f>B9+1</f>
        <v>5</v>
      </c>
      <c r="C10" s="8" t="s">
        <v>161</v>
      </c>
      <c r="D10" s="9" t="s">
        <v>206</v>
      </c>
      <c r="E10" s="10"/>
    </row>
    <row r="11" spans="2:15">
      <c r="B11" s="8">
        <f t="shared" ref="B11:B22" si="0">B10+1</f>
        <v>6</v>
      </c>
      <c r="C11" s="8" t="s">
        <v>18</v>
      </c>
      <c r="D11" s="9" t="s">
        <v>133</v>
      </c>
      <c r="E11" s="10"/>
    </row>
    <row r="12" spans="2:15">
      <c r="B12" s="8">
        <f t="shared" si="0"/>
        <v>7</v>
      </c>
      <c r="C12" s="152" t="s">
        <v>22</v>
      </c>
      <c r="D12" s="9" t="s">
        <v>207</v>
      </c>
      <c r="E12" s="10"/>
    </row>
    <row r="13" spans="2:15">
      <c r="B13" s="8">
        <f t="shared" si="0"/>
        <v>8</v>
      </c>
      <c r="C13" s="152" t="s">
        <v>23</v>
      </c>
      <c r="D13" s="11" t="s">
        <v>124</v>
      </c>
      <c r="E13" s="10"/>
    </row>
    <row r="14" spans="2:15">
      <c r="B14" s="8">
        <f t="shared" si="0"/>
        <v>9</v>
      </c>
      <c r="C14" s="152" t="s">
        <v>19</v>
      </c>
      <c r="D14" s="11" t="s">
        <v>208</v>
      </c>
      <c r="E14" s="10"/>
    </row>
    <row r="15" spans="2:15">
      <c r="B15" s="8">
        <f t="shared" si="0"/>
        <v>10</v>
      </c>
      <c r="C15" s="152" t="s">
        <v>24</v>
      </c>
      <c r="D15" s="9" t="s">
        <v>141</v>
      </c>
      <c r="E15" s="10"/>
    </row>
    <row r="16" spans="2:15">
      <c r="B16" s="8">
        <f t="shared" si="0"/>
        <v>11</v>
      </c>
      <c r="C16" s="152" t="s">
        <v>25</v>
      </c>
      <c r="D16" s="11" t="s">
        <v>178</v>
      </c>
      <c r="E16" s="10"/>
    </row>
    <row r="17" spans="2:5">
      <c r="B17" s="8">
        <f t="shared" si="0"/>
        <v>12</v>
      </c>
      <c r="C17" s="152" t="s">
        <v>26</v>
      </c>
      <c r="D17" s="11" t="s">
        <v>142</v>
      </c>
      <c r="E17" s="10"/>
    </row>
    <row r="18" spans="2:5">
      <c r="B18" s="8">
        <f t="shared" si="0"/>
        <v>13</v>
      </c>
      <c r="C18" s="152" t="s">
        <v>27</v>
      </c>
      <c r="D18" s="11" t="s">
        <v>111</v>
      </c>
      <c r="E18" s="10"/>
    </row>
    <row r="19" spans="2:5">
      <c r="B19" s="8">
        <f t="shared" si="0"/>
        <v>14</v>
      </c>
      <c r="C19" s="152" t="s">
        <v>28</v>
      </c>
      <c r="D19" s="11" t="s">
        <v>210</v>
      </c>
      <c r="E19" s="10"/>
    </row>
    <row r="20" spans="2:5">
      <c r="B20" s="8">
        <f t="shared" si="0"/>
        <v>15</v>
      </c>
      <c r="C20" s="8" t="s">
        <v>340</v>
      </c>
      <c r="D20" s="9" t="s">
        <v>215</v>
      </c>
      <c r="E20" s="10"/>
    </row>
    <row r="21" spans="2:5">
      <c r="B21" s="8">
        <f t="shared" si="0"/>
        <v>16</v>
      </c>
      <c r="C21" s="8" t="s">
        <v>225</v>
      </c>
      <c r="D21" s="11" t="s">
        <v>209</v>
      </c>
      <c r="E21" s="10"/>
    </row>
    <row r="22" spans="2:5">
      <c r="B22" s="8">
        <f t="shared" si="0"/>
        <v>17</v>
      </c>
      <c r="C22" s="8" t="s">
        <v>226</v>
      </c>
      <c r="D22" s="11" t="s">
        <v>213</v>
      </c>
      <c r="E22" s="10"/>
    </row>
  </sheetData>
  <phoneticPr fontId="12" type="noConversion"/>
  <pageMargins left="0.55118110236220474" right="0.23622047244094491" top="0.27559055118110237" bottom="0.98425196850393704" header="0.23622047244094491" footer="0.2362204724409449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R37"/>
  <sheetViews>
    <sheetView showGridLines="0" view="pageBreakPreview" topLeftCell="A6" zoomScale="70" zoomScaleSheetLayoutView="70" workbookViewId="0">
      <selection activeCell="Q19" sqref="Q19"/>
    </sheetView>
  </sheetViews>
  <sheetFormatPr defaultColWidth="9.140625" defaultRowHeight="14.25"/>
  <cols>
    <col min="1" max="1" width="2.5703125" style="15" customWidth="1"/>
    <col min="2" max="2" width="6.140625" style="15" customWidth="1"/>
    <col min="3" max="3" width="38" style="15" customWidth="1"/>
    <col min="4" max="4" width="16.140625" style="15" customWidth="1"/>
    <col min="5" max="5" width="12" style="15" customWidth="1"/>
    <col min="6" max="6" width="11.28515625" style="15" customWidth="1"/>
    <col min="7" max="7" width="12.140625" style="15" customWidth="1"/>
    <col min="8" max="8" width="12" style="15" customWidth="1"/>
    <col min="9" max="10" width="10.7109375" style="15" customWidth="1"/>
    <col min="11" max="11" width="11.42578125" style="15" customWidth="1"/>
    <col min="12" max="12" width="11.7109375" style="15" customWidth="1"/>
    <col min="13" max="14" width="11.140625" style="15" customWidth="1"/>
    <col min="15" max="16" width="10.85546875" style="15" customWidth="1"/>
    <col min="17" max="16384" width="9.140625" style="15"/>
  </cols>
  <sheetData>
    <row r="1" spans="2:18" ht="15">
      <c r="C1" s="5"/>
      <c r="D1" s="5"/>
      <c r="E1" s="25" t="s">
        <v>218</v>
      </c>
      <c r="F1" s="25"/>
      <c r="G1" s="5"/>
      <c r="H1" s="5"/>
      <c r="I1" s="5"/>
      <c r="J1" s="25"/>
      <c r="K1" s="5"/>
      <c r="L1" s="5"/>
      <c r="M1" s="5"/>
      <c r="N1" s="5"/>
      <c r="O1" s="5"/>
      <c r="P1" s="5"/>
    </row>
    <row r="2" spans="2:18" s="4" customFormat="1" ht="15">
      <c r="C2" s="5"/>
      <c r="D2" s="5"/>
      <c r="E2" s="27" t="s">
        <v>200</v>
      </c>
      <c r="F2" s="27"/>
      <c r="G2" s="5"/>
      <c r="H2" s="5"/>
      <c r="I2" s="5"/>
      <c r="J2" s="27"/>
      <c r="K2" s="5"/>
      <c r="L2" s="5"/>
      <c r="M2" s="5"/>
      <c r="N2" s="5"/>
      <c r="O2" s="5"/>
      <c r="P2" s="5"/>
    </row>
    <row r="3" spans="2:18" ht="15.75" thickBot="1">
      <c r="O3" s="406" t="s">
        <v>3</v>
      </c>
      <c r="P3" s="406"/>
    </row>
    <row r="4" spans="2:18" ht="15" customHeight="1" thickBot="1">
      <c r="B4" s="391" t="s">
        <v>126</v>
      </c>
      <c r="C4" s="394" t="s">
        <v>14</v>
      </c>
      <c r="D4" s="388" t="s">
        <v>32</v>
      </c>
      <c r="E4" s="397" t="s">
        <v>0</v>
      </c>
      <c r="F4" s="400" t="s">
        <v>232</v>
      </c>
      <c r="G4" s="401"/>
      <c r="H4" s="402"/>
      <c r="I4" s="415" t="s">
        <v>230</v>
      </c>
      <c r="J4" s="416"/>
      <c r="K4" s="416"/>
      <c r="L4" s="416"/>
      <c r="M4" s="417"/>
      <c r="N4" s="407" t="s">
        <v>231</v>
      </c>
      <c r="O4" s="408"/>
      <c r="P4" s="409"/>
    </row>
    <row r="5" spans="2:18" ht="30" customHeight="1" thickBot="1">
      <c r="B5" s="392"/>
      <c r="C5" s="395"/>
      <c r="D5" s="389"/>
      <c r="E5" s="398"/>
      <c r="F5" s="403"/>
      <c r="G5" s="404"/>
      <c r="H5" s="405"/>
      <c r="I5" s="418" t="s">
        <v>343</v>
      </c>
      <c r="J5" s="221" t="s">
        <v>139</v>
      </c>
      <c r="K5" s="221" t="s">
        <v>140</v>
      </c>
      <c r="L5" s="221" t="s">
        <v>143</v>
      </c>
      <c r="M5" s="413" t="s">
        <v>341</v>
      </c>
      <c r="N5" s="410"/>
      <c r="O5" s="411"/>
      <c r="P5" s="412"/>
    </row>
    <row r="6" spans="2:18" ht="30.75" thickBot="1">
      <c r="B6" s="393"/>
      <c r="C6" s="396"/>
      <c r="D6" s="390"/>
      <c r="E6" s="399"/>
      <c r="F6" s="230" t="s">
        <v>342</v>
      </c>
      <c r="G6" s="239" t="s">
        <v>2</v>
      </c>
      <c r="H6" s="242" t="s">
        <v>341</v>
      </c>
      <c r="I6" s="419"/>
      <c r="J6" s="239" t="s">
        <v>2</v>
      </c>
      <c r="K6" s="241" t="s">
        <v>4</v>
      </c>
      <c r="L6" s="239" t="s">
        <v>4</v>
      </c>
      <c r="M6" s="414"/>
      <c r="N6" s="231" t="s">
        <v>343</v>
      </c>
      <c r="O6" s="232" t="s">
        <v>7</v>
      </c>
      <c r="P6" s="233" t="s">
        <v>341</v>
      </c>
    </row>
    <row r="7" spans="2:18" ht="15">
      <c r="B7" s="205">
        <v>1</v>
      </c>
      <c r="C7" s="207" t="s">
        <v>29</v>
      </c>
      <c r="D7" s="2" t="s">
        <v>127</v>
      </c>
      <c r="E7" s="213" t="s">
        <v>160</v>
      </c>
      <c r="F7" s="235">
        <v>41.47</v>
      </c>
      <c r="G7" s="236">
        <f>'F2'!F10</f>
        <v>54.428217142000001</v>
      </c>
      <c r="H7" s="237">
        <f>G7-F7</f>
        <v>12.958217142000002</v>
      </c>
      <c r="I7" s="234">
        <v>52.02</v>
      </c>
      <c r="J7" s="106">
        <f>'F2'!I10</f>
        <v>28.639204862999993</v>
      </c>
      <c r="K7" s="106">
        <f>'F2'!J10</f>
        <v>28.629731272727209</v>
      </c>
      <c r="L7" s="228">
        <f>'F2'!K10</f>
        <v>57.278936135727207</v>
      </c>
      <c r="M7" s="229">
        <f>L7-I7</f>
        <v>5.258936135727204</v>
      </c>
      <c r="N7" s="227">
        <v>55.36</v>
      </c>
      <c r="O7" s="228">
        <f>'F2'!N10</f>
        <v>60.169132195025547</v>
      </c>
      <c r="P7" s="229">
        <f>O7-N7</f>
        <v>4.8091321950255477</v>
      </c>
      <c r="R7" s="59"/>
    </row>
    <row r="8" spans="2:18" ht="15">
      <c r="B8" s="205">
        <f t="shared" ref="B8:B11" si="0">B7+1</f>
        <v>2</v>
      </c>
      <c r="C8" s="208" t="s">
        <v>112</v>
      </c>
      <c r="D8" s="2" t="s">
        <v>127</v>
      </c>
      <c r="E8" s="213" t="s">
        <v>19</v>
      </c>
      <c r="F8" s="379">
        <v>6.88</v>
      </c>
      <c r="G8" s="382">
        <f>'F4'!K11</f>
        <v>1.585951095</v>
      </c>
      <c r="H8" s="385">
        <f>G8-F8</f>
        <v>-5.2940489050000004</v>
      </c>
      <c r="I8" s="222">
        <v>1.41</v>
      </c>
      <c r="J8" s="106"/>
      <c r="K8" s="106">
        <f>'F4'!K24</f>
        <v>2.7062761048000001</v>
      </c>
      <c r="L8" s="106">
        <f>K8</f>
        <v>2.7062761048000001</v>
      </c>
      <c r="M8" s="229">
        <f t="shared" ref="M8:M17" si="1">L8-I8</f>
        <v>1.2962761048000002</v>
      </c>
      <c r="N8" s="225">
        <v>6.83</v>
      </c>
      <c r="O8" s="106">
        <f>'F4'!K37</f>
        <v>3.5238289893255996</v>
      </c>
      <c r="P8" s="229">
        <f t="shared" ref="P8:P17" si="2">O8-N8</f>
        <v>-3.3061710106744004</v>
      </c>
    </row>
    <row r="9" spans="2:18" ht="15">
      <c r="B9" s="205">
        <f t="shared" si="0"/>
        <v>3</v>
      </c>
      <c r="C9" s="207" t="s">
        <v>141</v>
      </c>
      <c r="D9" s="2" t="s">
        <v>127</v>
      </c>
      <c r="E9" s="213" t="s">
        <v>24</v>
      </c>
      <c r="F9" s="380"/>
      <c r="G9" s="383"/>
      <c r="H9" s="386"/>
      <c r="I9" s="222">
        <v>0.83</v>
      </c>
      <c r="J9" s="106"/>
      <c r="K9" s="106">
        <f>'F5'!I20</f>
        <v>0.89597122340160007</v>
      </c>
      <c r="L9" s="106">
        <f>'F5'!J20</f>
        <v>0.89597122340160007</v>
      </c>
      <c r="M9" s="229">
        <f t="shared" si="1"/>
        <v>6.597122340160011E-2</v>
      </c>
      <c r="N9" s="225">
        <v>2.95</v>
      </c>
      <c r="O9" s="106">
        <f>'F5'!M20</f>
        <v>1.0948996726235714</v>
      </c>
      <c r="P9" s="229">
        <f t="shared" si="2"/>
        <v>-1.8551003273764288</v>
      </c>
    </row>
    <row r="10" spans="2:18" ht="15">
      <c r="B10" s="205">
        <f t="shared" si="0"/>
        <v>4</v>
      </c>
      <c r="C10" s="208" t="s">
        <v>30</v>
      </c>
      <c r="D10" s="2" t="s">
        <v>127</v>
      </c>
      <c r="E10" s="213" t="s">
        <v>25</v>
      </c>
      <c r="F10" s="380"/>
      <c r="G10" s="383"/>
      <c r="H10" s="386"/>
      <c r="I10" s="222">
        <v>1.1299999999999999</v>
      </c>
      <c r="J10" s="106"/>
      <c r="K10" s="106">
        <f>L10</f>
        <v>1.3145326716849761</v>
      </c>
      <c r="L10" s="106">
        <f>'F6'!J11</f>
        <v>1.3145326716849761</v>
      </c>
      <c r="M10" s="229">
        <f t="shared" si="1"/>
        <v>0.18453267168497622</v>
      </c>
      <c r="N10" s="225">
        <v>1.32</v>
      </c>
      <c r="O10" s="106">
        <f>'F6'!M11</f>
        <v>1.3957719585059158</v>
      </c>
      <c r="P10" s="229">
        <f t="shared" si="2"/>
        <v>7.5771958505915782E-2</v>
      </c>
    </row>
    <row r="11" spans="2:18" ht="15">
      <c r="B11" s="205">
        <f t="shared" si="0"/>
        <v>5</v>
      </c>
      <c r="C11" s="207" t="s">
        <v>142</v>
      </c>
      <c r="D11" s="2" t="s">
        <v>127</v>
      </c>
      <c r="E11" s="213" t="s">
        <v>26</v>
      </c>
      <c r="F11" s="381"/>
      <c r="G11" s="384"/>
      <c r="H11" s="387"/>
      <c r="I11" s="222">
        <v>0.4</v>
      </c>
      <c r="J11" s="106"/>
      <c r="K11" s="106">
        <f>'F7'!I19</f>
        <v>1.1901853340118747</v>
      </c>
      <c r="L11" s="106">
        <f>'F7'!J19</f>
        <v>1.1901853340118747</v>
      </c>
      <c r="M11" s="229">
        <f t="shared" si="1"/>
        <v>0.79018533401187463</v>
      </c>
      <c r="N11" s="225">
        <v>2.0099999999999998</v>
      </c>
      <c r="O11" s="106">
        <f>'F7'!M19</f>
        <v>1.4932146748727737</v>
      </c>
      <c r="P11" s="229">
        <f t="shared" si="2"/>
        <v>-0.51678532512722608</v>
      </c>
    </row>
    <row r="12" spans="2:18" ht="15">
      <c r="B12" s="205"/>
      <c r="C12" s="209" t="s">
        <v>176</v>
      </c>
      <c r="D12" s="2"/>
      <c r="E12" s="213"/>
      <c r="F12" s="215"/>
      <c r="G12" s="132"/>
      <c r="H12" s="216"/>
      <c r="I12" s="222"/>
      <c r="J12" s="106"/>
      <c r="K12" s="106"/>
      <c r="L12" s="106"/>
      <c r="M12" s="229"/>
      <c r="N12" s="225"/>
      <c r="O12" s="106"/>
      <c r="P12" s="229"/>
    </row>
    <row r="13" spans="2:18" ht="15">
      <c r="B13" s="205">
        <v>6</v>
      </c>
      <c r="C13" s="207" t="s">
        <v>111</v>
      </c>
      <c r="D13" s="2" t="s">
        <v>127</v>
      </c>
      <c r="E13" s="213" t="s">
        <v>27</v>
      </c>
      <c r="F13" s="308">
        <v>1</v>
      </c>
      <c r="G13" s="132">
        <f>'F8'!E16</f>
        <v>0.64</v>
      </c>
      <c r="H13" s="216">
        <f>G13-F13</f>
        <v>-0.36</v>
      </c>
      <c r="I13" s="222">
        <v>0.5</v>
      </c>
      <c r="J13" s="106">
        <f>'F8'!H16</f>
        <v>0.1</v>
      </c>
      <c r="K13" s="106">
        <f>'F8'!I16</f>
        <v>0.4</v>
      </c>
      <c r="L13" s="106">
        <f>'F8'!J16</f>
        <v>0.5</v>
      </c>
      <c r="M13" s="229">
        <f t="shared" si="1"/>
        <v>0</v>
      </c>
      <c r="N13" s="225">
        <v>0.5</v>
      </c>
      <c r="O13" s="106">
        <f>'F8'!M16</f>
        <v>0.5</v>
      </c>
      <c r="P13" s="229">
        <f t="shared" si="2"/>
        <v>0</v>
      </c>
    </row>
    <row r="14" spans="2:18" ht="15">
      <c r="B14" s="205">
        <v>6.1</v>
      </c>
      <c r="C14" s="207" t="s">
        <v>210</v>
      </c>
      <c r="D14" s="2" t="s">
        <v>127</v>
      </c>
      <c r="E14" s="213" t="s">
        <v>28</v>
      </c>
      <c r="F14" s="215">
        <v>47.35</v>
      </c>
      <c r="G14" s="132">
        <v>48.31</v>
      </c>
      <c r="H14" s="216">
        <f>G14-F14</f>
        <v>0.96000000000000085</v>
      </c>
      <c r="I14" s="222"/>
      <c r="J14" s="106"/>
      <c r="K14" s="106"/>
      <c r="L14" s="106"/>
      <c r="M14" s="229"/>
      <c r="N14" s="225"/>
      <c r="O14" s="106"/>
      <c r="P14" s="229"/>
    </row>
    <row r="15" spans="2:18" ht="15">
      <c r="B15" s="205"/>
      <c r="C15" s="209" t="s">
        <v>211</v>
      </c>
      <c r="D15" s="2"/>
      <c r="E15" s="213"/>
      <c r="F15" s="217"/>
      <c r="G15" s="132"/>
      <c r="H15" s="216"/>
      <c r="I15" s="222"/>
      <c r="J15" s="106"/>
      <c r="K15" s="106"/>
      <c r="L15" s="106"/>
      <c r="M15" s="229"/>
      <c r="N15" s="225"/>
      <c r="O15" s="106"/>
      <c r="P15" s="229"/>
    </row>
    <row r="16" spans="2:18" ht="15">
      <c r="B16" s="205">
        <v>7</v>
      </c>
      <c r="C16" s="207" t="s">
        <v>212</v>
      </c>
      <c r="D16" s="2" t="s">
        <v>127</v>
      </c>
      <c r="E16" s="213" t="s">
        <v>225</v>
      </c>
      <c r="F16" s="308">
        <v>0</v>
      </c>
      <c r="G16" s="215">
        <v>0</v>
      </c>
      <c r="H16" s="308">
        <f>SUM(H7:H12)-H14-H13</f>
        <v>7.0641682370000014</v>
      </c>
      <c r="I16" s="222"/>
      <c r="J16" s="106"/>
      <c r="K16" s="106"/>
      <c r="L16" s="106"/>
      <c r="M16" s="229"/>
      <c r="N16" s="225"/>
      <c r="O16" s="106">
        <v>8.6999999999999993</v>
      </c>
      <c r="P16" s="229">
        <f t="shared" si="2"/>
        <v>8.6999999999999993</v>
      </c>
    </row>
    <row r="17" spans="2:16" ht="15.75">
      <c r="B17" s="206">
        <v>8</v>
      </c>
      <c r="C17" s="209" t="s">
        <v>31</v>
      </c>
      <c r="D17" s="203" t="s">
        <v>127</v>
      </c>
      <c r="E17" s="309"/>
      <c r="F17" s="105"/>
      <c r="G17" s="105"/>
      <c r="H17" s="218"/>
      <c r="I17" s="223">
        <v>55.29</v>
      </c>
      <c r="J17" s="110">
        <v>28.53</v>
      </c>
      <c r="K17" s="110">
        <f>K7+K8+K9+K10+K11-K13</f>
        <v>34.336696606625665</v>
      </c>
      <c r="L17" s="110">
        <f>(L7+L8+L9+L10+L11)-L13+L14+L16+0.01</f>
        <v>62.895901469625656</v>
      </c>
      <c r="M17" s="314">
        <f t="shared" si="1"/>
        <v>7.6059014696256568</v>
      </c>
      <c r="N17" s="226">
        <v>67.98</v>
      </c>
      <c r="O17" s="110">
        <f>O7+O8+O9+O10+O11-O13+O16-0.01</f>
        <v>75.866847490353408</v>
      </c>
      <c r="P17" s="314">
        <f t="shared" si="2"/>
        <v>7.8868474903534036</v>
      </c>
    </row>
    <row r="18" spans="2:16" ht="16.5" thickBot="1">
      <c r="B18" s="243">
        <v>9</v>
      </c>
      <c r="C18" s="244" t="s">
        <v>221</v>
      </c>
      <c r="D18" s="202" t="s">
        <v>216</v>
      </c>
      <c r="E18" s="310" t="s">
        <v>226</v>
      </c>
      <c r="F18" s="245"/>
      <c r="G18" s="246"/>
      <c r="H18" s="247"/>
      <c r="I18" s="214">
        <v>23676.02</v>
      </c>
      <c r="J18" s="210"/>
      <c r="K18" s="210"/>
      <c r="L18" s="211">
        <v>22510.02</v>
      </c>
      <c r="M18" s="110"/>
      <c r="N18" s="110">
        <v>23387.94</v>
      </c>
      <c r="O18" s="110">
        <v>24584.78</v>
      </c>
      <c r="P18" s="110"/>
    </row>
    <row r="19" spans="2:16" ht="16.5" thickBot="1">
      <c r="B19" s="248">
        <v>10</v>
      </c>
      <c r="C19" s="249" t="s">
        <v>227</v>
      </c>
      <c r="D19" s="250" t="s">
        <v>219</v>
      </c>
      <c r="E19" s="251"/>
      <c r="F19" s="252"/>
      <c r="G19" s="252"/>
      <c r="H19" s="253"/>
      <c r="I19" s="224">
        <f>(I17/I18*10000000)/12+0.1</f>
        <v>1946.1618803329277</v>
      </c>
      <c r="J19" s="219"/>
      <c r="K19" s="219"/>
      <c r="L19" s="220">
        <f>(L17/L18*10000000)/12</f>
        <v>2328.4408998609529</v>
      </c>
      <c r="M19" s="110"/>
      <c r="N19" s="110">
        <f>(N17/N18*10000000)/12-0.03</f>
        <v>2422.1585296439107</v>
      </c>
      <c r="O19" s="110">
        <f>(O17/O18*10000000)/12</f>
        <v>2571.6062095584275</v>
      </c>
      <c r="P19" s="110"/>
    </row>
    <row r="21" spans="2:16" ht="15">
      <c r="C21" s="67" t="s">
        <v>14</v>
      </c>
      <c r="D21" s="67" t="s">
        <v>255</v>
      </c>
      <c r="E21" s="67" t="s">
        <v>256</v>
      </c>
      <c r="F21" s="67"/>
      <c r="G21" s="67" t="s">
        <v>257</v>
      </c>
      <c r="H21" s="190"/>
      <c r="I21" s="190"/>
      <c r="L21" s="64"/>
      <c r="O21" s="64"/>
    </row>
    <row r="22" spans="2:16" ht="16.5">
      <c r="C22" s="68" t="s">
        <v>258</v>
      </c>
      <c r="D22" s="119"/>
      <c r="E22" s="120">
        <f>L8</f>
        <v>2.7062761048000001</v>
      </c>
      <c r="F22" s="120"/>
      <c r="G22" s="120">
        <f>O8</f>
        <v>3.5238289893255996</v>
      </c>
      <c r="H22" s="191"/>
      <c r="I22" s="191"/>
      <c r="J22" s="59"/>
      <c r="L22" s="63"/>
      <c r="O22" s="63"/>
    </row>
    <row r="23" spans="2:16" ht="16.5">
      <c r="C23" s="68" t="s">
        <v>259</v>
      </c>
      <c r="D23" s="121"/>
      <c r="E23" s="122">
        <f>L9</f>
        <v>0.89597122340160007</v>
      </c>
      <c r="F23" s="122"/>
      <c r="G23" s="122">
        <f>O9</f>
        <v>1.0948996726235714</v>
      </c>
      <c r="H23" s="192"/>
      <c r="I23" s="192"/>
      <c r="L23" s="63"/>
      <c r="O23" s="63"/>
    </row>
    <row r="24" spans="2:16" ht="16.5">
      <c r="C24" s="68" t="s">
        <v>142</v>
      </c>
      <c r="D24" s="119"/>
      <c r="E24" s="120">
        <f>L11</f>
        <v>1.1901853340118747</v>
      </c>
      <c r="F24" s="120"/>
      <c r="G24" s="120">
        <f>O11</f>
        <v>1.4932146748727737</v>
      </c>
      <c r="H24" s="191"/>
      <c r="I24" s="191"/>
    </row>
    <row r="25" spans="2:16" ht="16.5">
      <c r="C25" s="68" t="s">
        <v>260</v>
      </c>
      <c r="D25" s="119"/>
      <c r="E25" s="120">
        <f>L7</f>
        <v>57.278936135727207</v>
      </c>
      <c r="F25" s="120"/>
      <c r="G25" s="120">
        <f>O7</f>
        <v>60.169132195025547</v>
      </c>
      <c r="H25" s="191"/>
      <c r="I25" s="191"/>
    </row>
    <row r="26" spans="2:16" ht="15.75">
      <c r="C26" s="69" t="s">
        <v>30</v>
      </c>
      <c r="D26" s="123"/>
      <c r="E26" s="124"/>
      <c r="F26" s="124"/>
      <c r="G26" s="124"/>
      <c r="H26" s="193"/>
      <c r="I26" s="193"/>
    </row>
    <row r="27" spans="2:16" ht="16.5">
      <c r="C27" s="68" t="s">
        <v>261</v>
      </c>
      <c r="D27" s="125"/>
      <c r="E27" s="126">
        <f>L7/12*0.105</f>
        <v>0.50119069118761306</v>
      </c>
      <c r="F27" s="126"/>
      <c r="G27" s="126">
        <f>O7/12*0.105</f>
        <v>0.52647990670647349</v>
      </c>
      <c r="H27" s="194"/>
      <c r="I27" s="194"/>
    </row>
    <row r="28" spans="2:16" ht="33">
      <c r="C28" s="70" t="s">
        <v>262</v>
      </c>
      <c r="D28" s="125"/>
      <c r="E28" s="125">
        <f>SUM(E22:E27)</f>
        <v>62.572559489128288</v>
      </c>
      <c r="F28" s="125"/>
      <c r="G28" s="125">
        <f>SUM(G22:G27)</f>
        <v>66.807555438553962</v>
      </c>
      <c r="H28" s="195"/>
      <c r="I28" s="195"/>
    </row>
    <row r="29" spans="2:16" ht="16.5">
      <c r="C29" s="68"/>
      <c r="D29" s="123"/>
      <c r="E29" s="124"/>
      <c r="F29" s="124"/>
      <c r="G29" s="124"/>
      <c r="H29" s="193"/>
      <c r="I29" s="193"/>
    </row>
    <row r="30" spans="2:16" ht="16.5">
      <c r="C30" s="68" t="s">
        <v>263</v>
      </c>
      <c r="D30" s="127"/>
      <c r="E30" s="128">
        <f>L13</f>
        <v>0.5</v>
      </c>
      <c r="F30" s="128"/>
      <c r="G30" s="128">
        <f>O13</f>
        <v>0.5</v>
      </c>
      <c r="H30" s="196"/>
      <c r="I30" s="196"/>
    </row>
    <row r="31" spans="2:16" ht="16.5">
      <c r="C31" s="68"/>
      <c r="D31" s="123"/>
      <c r="E31" s="124"/>
      <c r="F31" s="124"/>
      <c r="G31" s="124"/>
      <c r="H31" s="193"/>
      <c r="I31" s="193"/>
    </row>
    <row r="32" spans="2:16" ht="16.5">
      <c r="C32" s="68" t="s">
        <v>264</v>
      </c>
      <c r="D32" s="129"/>
      <c r="E32" s="129">
        <f>(E28-E30)*1.312%</f>
        <v>0.81439198049736317</v>
      </c>
      <c r="F32" s="129"/>
      <c r="G32" s="129">
        <f>(G28-G30)*1.311%</f>
        <v>0.86929205179944247</v>
      </c>
      <c r="H32" s="197"/>
      <c r="I32" s="197"/>
    </row>
    <row r="33" spans="3:9" ht="16.5">
      <c r="C33" s="68" t="s">
        <v>265</v>
      </c>
      <c r="D33" s="129"/>
      <c r="E33" s="129">
        <f>E32*100/10.5</f>
        <v>7.7561140999748872</v>
      </c>
      <c r="F33" s="129"/>
      <c r="G33" s="129">
        <f>G32*100/10.5</f>
        <v>8.2789719218994513</v>
      </c>
      <c r="H33" s="197"/>
      <c r="I33" s="197"/>
    </row>
    <row r="34" spans="3:9" ht="17.25" thickBot="1">
      <c r="C34" s="68"/>
      <c r="D34" s="129"/>
      <c r="E34" s="130"/>
      <c r="F34" s="130"/>
      <c r="G34" s="130"/>
      <c r="H34" s="198"/>
      <c r="I34" s="198"/>
    </row>
    <row r="35" spans="3:9" ht="15.75">
      <c r="C35" s="71" t="s">
        <v>33</v>
      </c>
      <c r="D35" s="129"/>
      <c r="E35" s="129">
        <f>L17</f>
        <v>62.895901469625656</v>
      </c>
      <c r="F35" s="129"/>
      <c r="G35" s="129">
        <f>(O17-O16)</f>
        <v>67.166847490353405</v>
      </c>
      <c r="H35" s="197"/>
      <c r="I35" s="197"/>
    </row>
    <row r="36" spans="3:9" ht="15.75">
      <c r="C36" s="72" t="s">
        <v>266</v>
      </c>
      <c r="D36" s="129"/>
      <c r="E36" s="129">
        <f>E35*45/365</f>
        <v>7.7542892222826145</v>
      </c>
      <c r="F36" s="129"/>
      <c r="G36" s="129">
        <f>G35*45/365</f>
        <v>8.2808442111394616</v>
      </c>
      <c r="H36" s="197"/>
      <c r="I36" s="197"/>
    </row>
    <row r="37" spans="3:9" ht="15" thickBot="1">
      <c r="C37" s="73" t="s">
        <v>267</v>
      </c>
      <c r="D37" s="311">
        <f>D33-D36</f>
        <v>0</v>
      </c>
      <c r="E37" s="311">
        <f>E33-E36</f>
        <v>1.8248776922726861E-3</v>
      </c>
      <c r="F37" s="311"/>
      <c r="G37" s="311">
        <f>G33-G36</f>
        <v>-1.8722892400102609E-3</v>
      </c>
      <c r="H37" s="199"/>
      <c r="I37" s="199"/>
    </row>
  </sheetData>
  <mergeCells count="13">
    <mergeCell ref="O3:P3"/>
    <mergeCell ref="N4:P5"/>
    <mergeCell ref="M5:M6"/>
    <mergeCell ref="I4:M4"/>
    <mergeCell ref="I5:I6"/>
    <mergeCell ref="F8:F11"/>
    <mergeCell ref="G8:G11"/>
    <mergeCell ref="H8:H11"/>
    <mergeCell ref="D4:D6"/>
    <mergeCell ref="B4:B6"/>
    <mergeCell ref="C4:C6"/>
    <mergeCell ref="E4:E6"/>
    <mergeCell ref="F4:H5"/>
  </mergeCells>
  <pageMargins left="0.23622047244094491" right="0.23622047244094491" top="0.35433070866141736" bottom="0.27559055118110237" header="0.27559055118110237" footer="0.15748031496062992"/>
  <pageSetup paperSize="9" scale="7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B1:R14"/>
  <sheetViews>
    <sheetView showGridLines="0" view="pageBreakPreview" zoomScale="80" zoomScaleNormal="80" zoomScaleSheetLayoutView="80" workbookViewId="0">
      <selection activeCell="O15" sqref="O15"/>
    </sheetView>
  </sheetViews>
  <sheetFormatPr defaultColWidth="12.140625" defaultRowHeight="14.25"/>
  <cols>
    <col min="1" max="1" width="0.42578125" style="5" customWidth="1"/>
    <col min="2" max="2" width="12.140625" style="5"/>
    <col min="3" max="3" width="22.42578125" style="5" customWidth="1"/>
    <col min="4" max="5" width="12.140625" style="5"/>
    <col min="6" max="7" width="15.85546875" style="5" customWidth="1"/>
    <col min="8" max="8" width="13.140625" style="5" customWidth="1"/>
    <col min="9" max="9" width="14.140625" style="5" customWidth="1"/>
    <col min="10" max="10" width="13.5703125" style="5" customWidth="1"/>
    <col min="11" max="16" width="14.28515625" style="5" customWidth="1"/>
    <col min="17" max="16384" width="12.140625" style="5"/>
  </cols>
  <sheetData>
    <row r="1" spans="2:18" ht="15">
      <c r="C1" s="28"/>
      <c r="D1" s="28"/>
      <c r="E1" s="28"/>
      <c r="F1" s="25" t="s">
        <v>218</v>
      </c>
      <c r="G1" s="25"/>
      <c r="H1" s="25"/>
      <c r="I1" s="28"/>
      <c r="J1" s="28"/>
      <c r="K1" s="25"/>
      <c r="L1" s="25"/>
      <c r="M1" s="25"/>
      <c r="N1" s="25"/>
    </row>
    <row r="2" spans="2:18" ht="15">
      <c r="B2" s="27"/>
      <c r="C2" s="27"/>
      <c r="D2" s="27"/>
      <c r="E2" s="27"/>
      <c r="F2" s="27" t="s">
        <v>202</v>
      </c>
      <c r="G2" s="27"/>
      <c r="H2" s="27"/>
      <c r="I2" s="27"/>
      <c r="J2" s="27"/>
      <c r="K2" s="27"/>
      <c r="L2" s="27"/>
      <c r="M2" s="27"/>
      <c r="N2" s="27"/>
    </row>
    <row r="3" spans="2:18" ht="15.75" thickBot="1">
      <c r="O3" s="21" t="s">
        <v>3</v>
      </c>
      <c r="P3" s="21"/>
    </row>
    <row r="4" spans="2:18" ht="15" customHeight="1" thickBot="1">
      <c r="B4" s="420" t="s">
        <v>126</v>
      </c>
      <c r="C4" s="423" t="s">
        <v>14</v>
      </c>
      <c r="D4" s="426" t="s">
        <v>0</v>
      </c>
      <c r="E4" s="400" t="s">
        <v>232</v>
      </c>
      <c r="F4" s="401"/>
      <c r="G4" s="402"/>
      <c r="H4" s="415" t="s">
        <v>230</v>
      </c>
      <c r="I4" s="416"/>
      <c r="J4" s="416"/>
      <c r="K4" s="416"/>
      <c r="L4" s="417"/>
      <c r="M4" s="407" t="s">
        <v>231</v>
      </c>
      <c r="N4" s="408"/>
      <c r="O4" s="409"/>
      <c r="P4" s="200"/>
    </row>
    <row r="5" spans="2:18" ht="15.75" customHeight="1" thickBot="1">
      <c r="B5" s="421"/>
      <c r="C5" s="424"/>
      <c r="D5" s="427"/>
      <c r="E5" s="403"/>
      <c r="F5" s="404"/>
      <c r="G5" s="405"/>
      <c r="H5" s="418" t="s">
        <v>343</v>
      </c>
      <c r="I5" s="221" t="s">
        <v>139</v>
      </c>
      <c r="J5" s="221" t="s">
        <v>140</v>
      </c>
      <c r="K5" s="221" t="s">
        <v>143</v>
      </c>
      <c r="L5" s="413" t="s">
        <v>341</v>
      </c>
      <c r="M5" s="410"/>
      <c r="N5" s="411"/>
      <c r="O5" s="412"/>
      <c r="P5" s="200"/>
    </row>
    <row r="6" spans="2:18" ht="30.75" thickBot="1">
      <c r="B6" s="422"/>
      <c r="C6" s="425"/>
      <c r="D6" s="428"/>
      <c r="E6" s="230" t="s">
        <v>342</v>
      </c>
      <c r="F6" s="211" t="s">
        <v>2</v>
      </c>
      <c r="G6" s="212" t="s">
        <v>341</v>
      </c>
      <c r="H6" s="419"/>
      <c r="I6" s="211" t="s">
        <v>2</v>
      </c>
      <c r="J6" s="211" t="s">
        <v>4</v>
      </c>
      <c r="K6" s="211" t="s">
        <v>4</v>
      </c>
      <c r="L6" s="414"/>
      <c r="M6" s="231" t="s">
        <v>343</v>
      </c>
      <c r="N6" s="232" t="s">
        <v>7</v>
      </c>
      <c r="O6" s="233" t="s">
        <v>341</v>
      </c>
    </row>
    <row r="7" spans="2:18" ht="15">
      <c r="B7" s="263">
        <v>1</v>
      </c>
      <c r="C7" s="264" t="s">
        <v>38</v>
      </c>
      <c r="D7" s="264" t="s">
        <v>20</v>
      </c>
      <c r="E7" s="30">
        <v>37.979999999999997</v>
      </c>
      <c r="F7" s="112">
        <f>F2.1!D33</f>
        <v>53.006344313</v>
      </c>
      <c r="G7" s="112">
        <f>F7-E7</f>
        <v>15.026344313000003</v>
      </c>
      <c r="H7" s="112">
        <v>49.37</v>
      </c>
      <c r="I7" s="112">
        <f>F2.1!E33</f>
        <v>27.573347964999993</v>
      </c>
      <c r="J7" s="112">
        <f>F2.1!F33</f>
        <v>28.199326252276009</v>
      </c>
      <c r="K7" s="112">
        <f>F2.1!G33</f>
        <v>55.772674217276005</v>
      </c>
      <c r="L7" s="112">
        <f>K7-H7</f>
        <v>6.4026742172760081</v>
      </c>
      <c r="M7" s="112">
        <v>52.23</v>
      </c>
      <c r="N7" s="112">
        <f>F2.1!H33</f>
        <v>58.662333276574344</v>
      </c>
      <c r="O7" s="259">
        <f>N7-M7</f>
        <v>6.4323332765743473</v>
      </c>
    </row>
    <row r="8" spans="2:18" ht="15">
      <c r="B8" s="254">
        <f>B7+1</f>
        <v>2</v>
      </c>
      <c r="C8" s="29" t="s">
        <v>144</v>
      </c>
      <c r="D8" s="29" t="s">
        <v>21</v>
      </c>
      <c r="E8" s="238">
        <v>2.94</v>
      </c>
      <c r="F8" s="112">
        <f>F2.2!D37</f>
        <v>0.58488569200000007</v>
      </c>
      <c r="G8" s="112">
        <f t="shared" ref="G8:G10" si="0">F8-E8</f>
        <v>-2.3551143080000001</v>
      </c>
      <c r="H8" s="112">
        <v>1.66</v>
      </c>
      <c r="I8" s="112">
        <f>F2.2!E37</f>
        <v>0.209264114</v>
      </c>
      <c r="J8" s="112">
        <f>+F2.2!F35</f>
        <v>-0.209264114</v>
      </c>
      <c r="K8" s="112">
        <f>F2.2!G37</f>
        <v>0</v>
      </c>
      <c r="L8" s="112">
        <f t="shared" ref="L8:L10" si="1">K8-H8</f>
        <v>-1.66</v>
      </c>
      <c r="M8" s="112">
        <v>1.74</v>
      </c>
      <c r="N8" s="112">
        <f>F2.2!H37</f>
        <v>0</v>
      </c>
      <c r="O8" s="259">
        <f t="shared" ref="O8:O10" si="2">N8-M8</f>
        <v>-1.74</v>
      </c>
      <c r="R8" s="5">
        <v>10000000</v>
      </c>
    </row>
    <row r="9" spans="2:18" ht="15">
      <c r="B9" s="254">
        <f>B8+1</f>
        <v>3</v>
      </c>
      <c r="C9" s="23" t="s">
        <v>128</v>
      </c>
      <c r="D9" s="23" t="s">
        <v>161</v>
      </c>
      <c r="E9" s="30">
        <v>0.56000000000000005</v>
      </c>
      <c r="F9" s="112">
        <f>F2.3!D16</f>
        <v>0.84698713700000006</v>
      </c>
      <c r="G9" s="112">
        <f t="shared" si="0"/>
        <v>0.286987137</v>
      </c>
      <c r="H9" s="112">
        <v>0.99</v>
      </c>
      <c r="I9" s="112">
        <f>F2.3!E16</f>
        <v>0.85659278399999994</v>
      </c>
      <c r="J9" s="112">
        <f>F2.3!F16</f>
        <v>0.63966913445120011</v>
      </c>
      <c r="K9" s="112">
        <f>F2.3!G16</f>
        <v>1.5062619184512003</v>
      </c>
      <c r="L9" s="112">
        <f t="shared" si="1"/>
        <v>0.51626191845120029</v>
      </c>
      <c r="M9" s="112">
        <v>1.39</v>
      </c>
      <c r="N9" s="112">
        <f>F2.3!H16</f>
        <v>1.5067989184512001</v>
      </c>
      <c r="O9" s="259">
        <f t="shared" si="2"/>
        <v>0.11679891845120016</v>
      </c>
    </row>
    <row r="10" spans="2:18" ht="16.5" thickBot="1">
      <c r="B10" s="260">
        <f>B9+1</f>
        <v>4</v>
      </c>
      <c r="C10" s="261" t="s">
        <v>39</v>
      </c>
      <c r="D10" s="261"/>
      <c r="E10" s="262">
        <f>SUM(E7:E9)-0.01</f>
        <v>41.47</v>
      </c>
      <c r="F10" s="262">
        <f>SUM(F7:F9)-0.01</f>
        <v>54.428217142000001</v>
      </c>
      <c r="G10" s="262">
        <f t="shared" si="0"/>
        <v>12.958217142000002</v>
      </c>
      <c r="H10" s="262">
        <f t="shared" ref="H10:M10" si="3">SUM(H7:H9)</f>
        <v>52.019999999999996</v>
      </c>
      <c r="I10" s="262">
        <f t="shared" si="3"/>
        <v>28.639204862999993</v>
      </c>
      <c r="J10" s="262">
        <f>SUM(J7:J9)</f>
        <v>28.629731272727209</v>
      </c>
      <c r="K10" s="262">
        <f t="shared" si="3"/>
        <v>57.278936135727207</v>
      </c>
      <c r="L10" s="262">
        <f t="shared" si="1"/>
        <v>5.2589361357272111</v>
      </c>
      <c r="M10" s="262">
        <f t="shared" si="3"/>
        <v>55.36</v>
      </c>
      <c r="N10" s="262">
        <f t="shared" ref="N10" si="4">SUM(N7:N9)</f>
        <v>60.169132195025547</v>
      </c>
      <c r="O10" s="293">
        <f t="shared" si="2"/>
        <v>4.8091321950255477</v>
      </c>
      <c r="P10" s="201"/>
    </row>
    <row r="11" spans="2:18">
      <c r="B11" s="33"/>
      <c r="C11" s="34"/>
      <c r="D11" s="31"/>
      <c r="E11" s="31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2:18">
      <c r="B12" s="35"/>
      <c r="C12" s="34"/>
    </row>
    <row r="14" spans="2:18">
      <c r="B14" s="26"/>
    </row>
  </sheetData>
  <mergeCells count="8">
    <mergeCell ref="B4:B6"/>
    <mergeCell ref="C4:C6"/>
    <mergeCell ref="D4:D6"/>
    <mergeCell ref="M4:O5"/>
    <mergeCell ref="E4:G5"/>
    <mergeCell ref="H5:H6"/>
    <mergeCell ref="H4:L4"/>
    <mergeCell ref="L5:L6"/>
  </mergeCells>
  <pageMargins left="0.35433070866141736" right="0.35433070866141736" top="0.39370078740157483" bottom="0.74803149606299213" header="0.31496062992125984" footer="0.31496062992125984"/>
  <pageSetup paperSize="9" scale="70" orientation="landscape" r:id="rId1"/>
  <ignoredErrors>
    <ignoredError sqref="L1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B1:M39"/>
  <sheetViews>
    <sheetView showGridLines="0" zoomScale="80" zoomScaleNormal="80" zoomScaleSheetLayoutView="70" workbookViewId="0">
      <selection activeCell="I13" sqref="I13"/>
    </sheetView>
  </sheetViews>
  <sheetFormatPr defaultColWidth="9.140625" defaultRowHeight="14.25"/>
  <cols>
    <col min="1" max="1" width="2.28515625" style="62" customWidth="1"/>
    <col min="2" max="2" width="7" style="62" customWidth="1"/>
    <col min="3" max="3" width="50.5703125" style="62" customWidth="1"/>
    <col min="4" max="4" width="15.7109375" style="62" customWidth="1"/>
    <col min="5" max="5" width="14.85546875" style="62" customWidth="1"/>
    <col min="6" max="6" width="15" style="62" customWidth="1"/>
    <col min="7" max="7" width="14.28515625" style="62" customWidth="1"/>
    <col min="8" max="8" width="15.7109375" style="62" customWidth="1"/>
    <col min="9" max="9" width="18" style="62" customWidth="1"/>
    <col min="10" max="13" width="16" style="62" bestFit="1" customWidth="1"/>
    <col min="14" max="14" width="15.42578125" style="62" bestFit="1" customWidth="1"/>
    <col min="15" max="16384" width="9.140625" style="62"/>
  </cols>
  <sheetData>
    <row r="1" spans="2:13" ht="15">
      <c r="C1" s="133"/>
      <c r="D1" s="133"/>
      <c r="E1" s="134" t="s">
        <v>218</v>
      </c>
      <c r="F1" s="133"/>
      <c r="I1" s="133"/>
    </row>
    <row r="2" spans="2:13" s="135" customFormat="1" ht="15">
      <c r="C2" s="133"/>
      <c r="D2" s="133"/>
      <c r="E2" s="136" t="s">
        <v>162</v>
      </c>
      <c r="F2" s="133"/>
      <c r="I2" s="133"/>
    </row>
    <row r="3" spans="2:13" ht="15">
      <c r="H3" s="137" t="s">
        <v>3</v>
      </c>
    </row>
    <row r="4" spans="2:13" ht="16.5" customHeight="1">
      <c r="B4" s="433" t="s">
        <v>1</v>
      </c>
      <c r="C4" s="433" t="s">
        <v>14</v>
      </c>
      <c r="D4" s="435" t="s">
        <v>232</v>
      </c>
      <c r="E4" s="437" t="s">
        <v>230</v>
      </c>
      <c r="F4" s="437"/>
      <c r="G4" s="437"/>
      <c r="H4" s="438" t="s">
        <v>231</v>
      </c>
    </row>
    <row r="5" spans="2:13" ht="15">
      <c r="B5" s="433"/>
      <c r="C5" s="433"/>
      <c r="D5" s="436"/>
      <c r="E5" s="138" t="s">
        <v>139</v>
      </c>
      <c r="F5" s="138" t="s">
        <v>140</v>
      </c>
      <c r="G5" s="138" t="s">
        <v>143</v>
      </c>
      <c r="H5" s="439"/>
    </row>
    <row r="6" spans="2:13" ht="15">
      <c r="B6" s="434"/>
      <c r="C6" s="433"/>
      <c r="D6" s="138" t="s">
        <v>2</v>
      </c>
      <c r="E6" s="138" t="s">
        <v>2</v>
      </c>
      <c r="F6" s="138" t="s">
        <v>4</v>
      </c>
      <c r="G6" s="138" t="s">
        <v>4</v>
      </c>
      <c r="H6" s="138" t="s">
        <v>7</v>
      </c>
    </row>
    <row r="7" spans="2:13" ht="15">
      <c r="B7" s="85">
        <v>1</v>
      </c>
      <c r="C7" s="139" t="s">
        <v>42</v>
      </c>
      <c r="D7" s="118">
        <v>29.13</v>
      </c>
      <c r="E7" s="118">
        <f>(79947929+73275849+2102732+2122152+1245+8437354-387162)/10000000</f>
        <v>16.550009899999999</v>
      </c>
      <c r="F7" s="118">
        <f>G7-E7</f>
        <v>14.094750100000002</v>
      </c>
      <c r="G7" s="118">
        <f>D7*1.052</f>
        <v>30.644760000000002</v>
      </c>
      <c r="H7" s="118">
        <f>G7*1.052</f>
        <v>32.23828752</v>
      </c>
    </row>
    <row r="8" spans="2:13" ht="15">
      <c r="B8" s="85">
        <v>2</v>
      </c>
      <c r="C8" s="139" t="s">
        <v>43</v>
      </c>
      <c r="D8" s="118">
        <v>2.35</v>
      </c>
      <c r="E8" s="118">
        <f>(3476669+3806076+120860-192+544584)/10000000</f>
        <v>0.7947997</v>
      </c>
      <c r="F8" s="118">
        <f t="shared" ref="F8:F30" si="0">G8-E8</f>
        <v>1.6774003000000004</v>
      </c>
      <c r="G8" s="118">
        <f t="shared" ref="G8:G30" si="1">D8*1.052</f>
        <v>2.4722000000000004</v>
      </c>
      <c r="H8" s="118">
        <f t="shared" ref="H8:H30" si="2">G8*1.052</f>
        <v>2.6007544000000005</v>
      </c>
      <c r="I8" s="140"/>
      <c r="J8" s="140"/>
      <c r="K8" s="140"/>
    </row>
    <row r="9" spans="2:13" ht="15">
      <c r="B9" s="85">
        <v>3</v>
      </c>
      <c r="C9" s="141" t="s">
        <v>44</v>
      </c>
      <c r="D9" s="118">
        <f>(4001159+63222612)/10000000</f>
        <v>6.7223771000000001</v>
      </c>
      <c r="E9" s="118">
        <f>(22811066+1843562)/10000000</f>
        <v>2.4654628000000001</v>
      </c>
      <c r="F9" s="118">
        <f t="shared" si="0"/>
        <v>4.6064779092000006</v>
      </c>
      <c r="G9" s="118">
        <f t="shared" si="1"/>
        <v>7.0719407092000006</v>
      </c>
      <c r="H9" s="118">
        <f t="shared" si="2"/>
        <v>7.4396816260784009</v>
      </c>
    </row>
    <row r="10" spans="2:13" ht="15">
      <c r="B10" s="85">
        <v>4</v>
      </c>
      <c r="C10" s="139" t="s">
        <v>45</v>
      </c>
      <c r="D10" s="118">
        <f>(1583324+57855+494375)/10000000</f>
        <v>0.21355540000000001</v>
      </c>
      <c r="E10" s="118">
        <f>(534099+45597+245036)/10000000</f>
        <v>8.2473199999999997E-2</v>
      </c>
      <c r="F10" s="118">
        <f t="shared" si="0"/>
        <v>0.14218708080000003</v>
      </c>
      <c r="G10" s="118">
        <f t="shared" si="1"/>
        <v>0.22466028080000003</v>
      </c>
      <c r="H10" s="118">
        <f t="shared" si="2"/>
        <v>0.23634261540160004</v>
      </c>
      <c r="J10" s="359"/>
    </row>
    <row r="11" spans="2:13" ht="15">
      <c r="B11" s="85">
        <v>5</v>
      </c>
      <c r="C11" s="139" t="s">
        <v>46</v>
      </c>
      <c r="D11" s="118">
        <v>0</v>
      </c>
      <c r="E11" s="118">
        <v>0</v>
      </c>
      <c r="F11" s="118">
        <f t="shared" si="0"/>
        <v>0</v>
      </c>
      <c r="G11" s="118">
        <f t="shared" si="1"/>
        <v>0</v>
      </c>
      <c r="H11" s="118">
        <f t="shared" si="2"/>
        <v>0</v>
      </c>
      <c r="J11" s="359"/>
    </row>
    <row r="12" spans="2:13" ht="15">
      <c r="B12" s="85">
        <v>6</v>
      </c>
      <c r="C12" s="141" t="s">
        <v>47</v>
      </c>
      <c r="D12" s="118">
        <v>1.8402585</v>
      </c>
      <c r="E12" s="118">
        <f>(8245187)/10000000</f>
        <v>0.82451870000000005</v>
      </c>
      <c r="F12" s="118">
        <f t="shared" si="0"/>
        <v>1.1114332420000002</v>
      </c>
      <c r="G12" s="118">
        <f t="shared" si="1"/>
        <v>1.9359519420000002</v>
      </c>
      <c r="H12" s="118">
        <f t="shared" si="2"/>
        <v>2.0366214429840004</v>
      </c>
    </row>
    <row r="13" spans="2:13" ht="15">
      <c r="B13" s="85">
        <v>7</v>
      </c>
      <c r="C13" s="139" t="s">
        <v>48</v>
      </c>
      <c r="D13" s="118">
        <f>(110951+780422+1409032+2778835+1888242+48243+13949+185524+6110483-4118+22800+8804041+16458+180000+480329+740477)/10000000</f>
        <v>2.3565668</v>
      </c>
      <c r="E13" s="118">
        <f>(47084+413355+546834+994411+670199+14192-36786+93270-510+3132570-19522+11400+2943244+10411+90000+188422+2300+203462+331137)/10000000</f>
        <v>0.9635473</v>
      </c>
      <c r="F13" s="118">
        <f t="shared" si="0"/>
        <v>1.5155609736</v>
      </c>
      <c r="G13" s="118">
        <f t="shared" si="1"/>
        <v>2.4791082736000001</v>
      </c>
      <c r="H13" s="118">
        <f t="shared" si="2"/>
        <v>2.6080219038272001</v>
      </c>
      <c r="M13" s="358"/>
    </row>
    <row r="14" spans="2:13" ht="15">
      <c r="B14" s="85">
        <v>8</v>
      </c>
      <c r="C14" s="139" t="s">
        <v>49</v>
      </c>
      <c r="D14" s="118">
        <f>(561365+1700253+693211)/10000000</f>
        <v>0.29548289999999999</v>
      </c>
      <c r="E14" s="118">
        <f>(102865+627439+347021)/10000000</f>
        <v>0.10773249999999999</v>
      </c>
      <c r="F14" s="118">
        <f t="shared" si="0"/>
        <v>0.20311551080000001</v>
      </c>
      <c r="G14" s="118">
        <f t="shared" si="1"/>
        <v>0.31084801080000002</v>
      </c>
      <c r="H14" s="118">
        <f t="shared" si="2"/>
        <v>0.32701210736160002</v>
      </c>
      <c r="M14" s="150"/>
    </row>
    <row r="15" spans="2:13" ht="15">
      <c r="B15" s="85">
        <v>9</v>
      </c>
      <c r="C15" s="139" t="s">
        <v>50</v>
      </c>
      <c r="D15" s="118">
        <v>0</v>
      </c>
      <c r="E15" s="118">
        <v>0</v>
      </c>
      <c r="F15" s="118">
        <f t="shared" si="0"/>
        <v>0</v>
      </c>
      <c r="G15" s="118">
        <f t="shared" si="1"/>
        <v>0</v>
      </c>
      <c r="H15" s="118">
        <f t="shared" si="2"/>
        <v>0</v>
      </c>
    </row>
    <row r="16" spans="2:13" ht="15">
      <c r="B16" s="85">
        <v>10</v>
      </c>
      <c r="C16" s="139" t="s">
        <v>51</v>
      </c>
      <c r="D16" s="118">
        <v>0</v>
      </c>
      <c r="E16" s="118">
        <v>0</v>
      </c>
      <c r="F16" s="118">
        <f t="shared" si="0"/>
        <v>0</v>
      </c>
      <c r="G16" s="118">
        <f t="shared" si="1"/>
        <v>0</v>
      </c>
      <c r="H16" s="118">
        <f t="shared" si="2"/>
        <v>0</v>
      </c>
      <c r="I16" s="142"/>
      <c r="M16" s="150"/>
    </row>
    <row r="17" spans="2:10" ht="15">
      <c r="B17" s="85">
        <v>11</v>
      </c>
      <c r="C17" s="139" t="s">
        <v>52</v>
      </c>
      <c r="D17" s="118">
        <v>0</v>
      </c>
      <c r="E17" s="118">
        <v>0</v>
      </c>
      <c r="F17" s="118">
        <f t="shared" si="0"/>
        <v>0</v>
      </c>
      <c r="G17" s="118">
        <f t="shared" si="1"/>
        <v>0</v>
      </c>
      <c r="H17" s="118">
        <f t="shared" si="2"/>
        <v>0</v>
      </c>
    </row>
    <row r="18" spans="2:10" ht="15">
      <c r="B18" s="85">
        <v>12</v>
      </c>
      <c r="C18" s="139" t="s">
        <v>53</v>
      </c>
      <c r="D18" s="118">
        <v>0</v>
      </c>
      <c r="E18" s="118">
        <v>0</v>
      </c>
      <c r="F18" s="118">
        <f t="shared" si="0"/>
        <v>0</v>
      </c>
      <c r="G18" s="118">
        <f t="shared" si="1"/>
        <v>0</v>
      </c>
      <c r="H18" s="118">
        <f t="shared" si="2"/>
        <v>0</v>
      </c>
      <c r="I18" s="142"/>
    </row>
    <row r="19" spans="2:10" ht="15">
      <c r="B19" s="85">
        <v>13</v>
      </c>
      <c r="C19" s="139" t="s">
        <v>54</v>
      </c>
      <c r="D19" s="118">
        <v>0</v>
      </c>
      <c r="E19" s="118">
        <v>0</v>
      </c>
      <c r="F19" s="118">
        <f t="shared" si="0"/>
        <v>0</v>
      </c>
      <c r="G19" s="118">
        <f t="shared" si="1"/>
        <v>0</v>
      </c>
      <c r="H19" s="118">
        <f t="shared" si="2"/>
        <v>0</v>
      </c>
      <c r="I19" s="142"/>
      <c r="J19" s="143"/>
    </row>
    <row r="20" spans="2:10" ht="15">
      <c r="B20" s="85">
        <v>14</v>
      </c>
      <c r="C20" s="139" t="s">
        <v>55</v>
      </c>
      <c r="D20" s="118">
        <v>0</v>
      </c>
      <c r="E20" s="118">
        <v>0</v>
      </c>
      <c r="F20" s="118">
        <f t="shared" si="0"/>
        <v>0</v>
      </c>
      <c r="G20" s="118">
        <f t="shared" si="1"/>
        <v>0</v>
      </c>
      <c r="H20" s="118">
        <f t="shared" si="2"/>
        <v>0</v>
      </c>
    </row>
    <row r="21" spans="2:10" ht="15">
      <c r="B21" s="85">
        <v>15</v>
      </c>
      <c r="C21" s="139" t="s">
        <v>56</v>
      </c>
      <c r="D21" s="118">
        <v>0</v>
      </c>
      <c r="E21" s="118">
        <v>0</v>
      </c>
      <c r="F21" s="118">
        <f t="shared" si="0"/>
        <v>0</v>
      </c>
      <c r="G21" s="118">
        <f t="shared" si="1"/>
        <v>0</v>
      </c>
      <c r="H21" s="118">
        <f t="shared" si="2"/>
        <v>0</v>
      </c>
    </row>
    <row r="22" spans="2:10" ht="15">
      <c r="B22" s="85">
        <v>16</v>
      </c>
      <c r="C22" s="139" t="s">
        <v>57</v>
      </c>
      <c r="D22" s="118">
        <v>0</v>
      </c>
      <c r="E22" s="118">
        <v>0</v>
      </c>
      <c r="F22" s="118">
        <f t="shared" si="0"/>
        <v>0</v>
      </c>
      <c r="G22" s="118">
        <f t="shared" si="1"/>
        <v>0</v>
      </c>
      <c r="H22" s="118">
        <f t="shared" si="2"/>
        <v>0</v>
      </c>
    </row>
    <row r="23" spans="2:10" ht="15">
      <c r="B23" s="85">
        <v>17</v>
      </c>
      <c r="C23" s="139" t="s">
        <v>58</v>
      </c>
      <c r="D23" s="118">
        <v>0</v>
      </c>
      <c r="E23" s="118">
        <v>0</v>
      </c>
      <c r="F23" s="118">
        <f t="shared" si="0"/>
        <v>0</v>
      </c>
      <c r="G23" s="118">
        <f t="shared" si="1"/>
        <v>0</v>
      </c>
      <c r="H23" s="118">
        <f t="shared" si="2"/>
        <v>0</v>
      </c>
    </row>
    <row r="24" spans="2:10" ht="15">
      <c r="B24" s="85">
        <v>18</v>
      </c>
      <c r="C24" s="139" t="s">
        <v>59</v>
      </c>
      <c r="D24" s="118">
        <f>(64734764+2863953.73-127783)/10000000</f>
        <v>6.7470934730000005</v>
      </c>
      <c r="E24" s="118">
        <f>(15897699.92+26942714.03)/10000000</f>
        <v>4.284041395</v>
      </c>
      <c r="F24" s="118">
        <f t="shared" si="0"/>
        <v>2.8139009385960012</v>
      </c>
      <c r="G24" s="118">
        <f t="shared" si="1"/>
        <v>7.0979423335960012</v>
      </c>
      <c r="H24" s="118">
        <f t="shared" si="2"/>
        <v>7.4670353349429934</v>
      </c>
      <c r="J24" s="143"/>
    </row>
    <row r="25" spans="2:10" ht="15">
      <c r="B25" s="85">
        <f>+B24+0.1</f>
        <v>18.100000000000001</v>
      </c>
      <c r="C25" s="139" t="s">
        <v>60</v>
      </c>
      <c r="D25" s="118">
        <f>(609389+20541225+879947.19+63978+658557+290847+39683+39683)/10000000</f>
        <v>2.3123309190000003</v>
      </c>
      <c r="E25" s="118">
        <f>(273702+9213319+396462.83+24550.87+327923.06+144208+19699.47+19699.47)/10000000</f>
        <v>1.0419564700000001</v>
      </c>
      <c r="F25" s="118">
        <f t="shared" si="0"/>
        <v>1.3906156567880004</v>
      </c>
      <c r="G25" s="118">
        <f t="shared" si="1"/>
        <v>2.4325721267880005</v>
      </c>
      <c r="H25" s="118">
        <f t="shared" si="2"/>
        <v>2.5590658773809767</v>
      </c>
    </row>
    <row r="26" spans="2:10" ht="15">
      <c r="B26" s="85">
        <f>+B25+0.1</f>
        <v>18.200000000000003</v>
      </c>
      <c r="C26" s="139" t="s">
        <v>61</v>
      </c>
      <c r="D26" s="118">
        <v>0</v>
      </c>
      <c r="E26" s="118">
        <v>0</v>
      </c>
      <c r="F26" s="118">
        <f t="shared" si="0"/>
        <v>0</v>
      </c>
      <c r="G26" s="118">
        <f t="shared" si="1"/>
        <v>0</v>
      </c>
      <c r="H26" s="118">
        <f t="shared" si="2"/>
        <v>0</v>
      </c>
    </row>
    <row r="27" spans="2:10" ht="15">
      <c r="B27" s="85">
        <f>+B26+0.1</f>
        <v>18.300000000000004</v>
      </c>
      <c r="C27" s="139" t="s">
        <v>62</v>
      </c>
      <c r="D27" s="118">
        <v>0</v>
      </c>
      <c r="E27" s="118">
        <v>0</v>
      </c>
      <c r="F27" s="118">
        <f t="shared" si="0"/>
        <v>0</v>
      </c>
      <c r="G27" s="118">
        <f t="shared" si="1"/>
        <v>0</v>
      </c>
      <c r="H27" s="118">
        <f t="shared" si="2"/>
        <v>0</v>
      </c>
    </row>
    <row r="28" spans="2:10" ht="15">
      <c r="B28" s="85">
        <f>+B27+0.1</f>
        <v>18.400000000000006</v>
      </c>
      <c r="C28" s="139" t="s">
        <v>63</v>
      </c>
      <c r="D28" s="118">
        <f>(10386792.21)/10000000</f>
        <v>1.038679221</v>
      </c>
      <c r="E28" s="118">
        <f>(4588060)/10000000</f>
        <v>0.45880599999999999</v>
      </c>
      <c r="F28" s="118">
        <f t="shared" si="0"/>
        <v>0.63388454049199994</v>
      </c>
      <c r="G28" s="118">
        <f t="shared" si="1"/>
        <v>1.092690540492</v>
      </c>
      <c r="H28" s="118">
        <f t="shared" si="2"/>
        <v>1.149510448597584</v>
      </c>
    </row>
    <row r="29" spans="2:10" ht="28.5">
      <c r="B29" s="85">
        <v>19</v>
      </c>
      <c r="C29" s="144" t="s">
        <v>145</v>
      </c>
      <c r="D29" s="118">
        <v>0</v>
      </c>
      <c r="E29" s="118">
        <v>0</v>
      </c>
      <c r="F29" s="118">
        <f t="shared" si="0"/>
        <v>0</v>
      </c>
      <c r="G29" s="118">
        <f t="shared" si="1"/>
        <v>0</v>
      </c>
      <c r="H29" s="118">
        <f t="shared" si="2"/>
        <v>0</v>
      </c>
    </row>
    <row r="30" spans="2:10" ht="15">
      <c r="B30" s="85">
        <v>20</v>
      </c>
      <c r="C30" s="315" t="s">
        <v>64</v>
      </c>
      <c r="D30" s="316">
        <v>0</v>
      </c>
      <c r="E30" s="118">
        <v>0</v>
      </c>
      <c r="F30" s="118">
        <f t="shared" si="0"/>
        <v>0</v>
      </c>
      <c r="G30" s="118">
        <f t="shared" si="1"/>
        <v>0</v>
      </c>
      <c r="H30" s="118">
        <f t="shared" si="2"/>
        <v>0</v>
      </c>
    </row>
    <row r="31" spans="2:10" ht="15.75">
      <c r="B31" s="145">
        <v>21</v>
      </c>
      <c r="C31" s="146" t="s">
        <v>65</v>
      </c>
      <c r="D31" s="147">
        <f>SUM(D7:D30)</f>
        <v>53.006344313</v>
      </c>
      <c r="E31" s="147">
        <f t="shared" ref="E31" si="3">SUM(E7:E30)</f>
        <v>27.573347964999993</v>
      </c>
      <c r="F31" s="147">
        <f>SUM(F7:F30)+0.01</f>
        <v>28.199326252276009</v>
      </c>
      <c r="G31" s="147">
        <f>SUM(G7:G30)+0.01</f>
        <v>55.772674217276005</v>
      </c>
      <c r="H31" s="147">
        <f>SUM(H7:H30)</f>
        <v>58.662333276574344</v>
      </c>
    </row>
    <row r="32" spans="2:10" ht="15">
      <c r="B32" s="85">
        <v>22</v>
      </c>
      <c r="C32" s="139" t="s">
        <v>13</v>
      </c>
      <c r="D32" s="118">
        <v>0</v>
      </c>
      <c r="E32" s="118">
        <v>0</v>
      </c>
      <c r="F32" s="118">
        <f t="shared" ref="F32" si="4">E32*1.1</f>
        <v>0</v>
      </c>
      <c r="G32" s="118"/>
      <c r="H32" s="118">
        <f t="shared" ref="H32" si="5">G32*1.0579</f>
        <v>0</v>
      </c>
    </row>
    <row r="33" spans="2:8" ht="15.75">
      <c r="B33" s="145">
        <v>23</v>
      </c>
      <c r="C33" s="148" t="s">
        <v>66</v>
      </c>
      <c r="D33" s="147">
        <f>D31-D32</f>
        <v>53.006344313</v>
      </c>
      <c r="E33" s="147">
        <f>E31-E32</f>
        <v>27.573347964999993</v>
      </c>
      <c r="F33" s="147">
        <f>F31-F32</f>
        <v>28.199326252276009</v>
      </c>
      <c r="G33" s="147">
        <f>G31-G32</f>
        <v>55.772674217276005</v>
      </c>
      <c r="H33" s="147">
        <f>H31-H32</f>
        <v>58.662333276574344</v>
      </c>
    </row>
    <row r="34" spans="2:8" ht="15.75" customHeight="1">
      <c r="B34" s="430"/>
      <c r="C34" s="431"/>
      <c r="D34" s="431"/>
      <c r="E34" s="431"/>
      <c r="F34" s="431"/>
      <c r="G34" s="431"/>
      <c r="H34" s="432"/>
    </row>
    <row r="35" spans="2:8" ht="15.75">
      <c r="B35" s="429" t="s">
        <v>344</v>
      </c>
      <c r="C35" s="429"/>
      <c r="D35" s="429"/>
      <c r="E35" s="429"/>
      <c r="F35" s="429"/>
      <c r="G35" s="429"/>
      <c r="H35" s="429"/>
    </row>
    <row r="36" spans="2:8" ht="15">
      <c r="B36" s="149"/>
      <c r="D36" s="150"/>
      <c r="E36" s="150"/>
    </row>
    <row r="37" spans="2:8">
      <c r="B37" s="151"/>
      <c r="D37" s="150"/>
      <c r="E37" s="150"/>
    </row>
    <row r="38" spans="2:8">
      <c r="G38" s="312"/>
    </row>
    <row r="39" spans="2:8">
      <c r="E39" s="312"/>
      <c r="G39" s="150"/>
    </row>
  </sheetData>
  <mergeCells count="7">
    <mergeCell ref="B35:H35"/>
    <mergeCell ref="B34:H34"/>
    <mergeCell ref="B4:B6"/>
    <mergeCell ref="C4:C6"/>
    <mergeCell ref="D4:D5"/>
    <mergeCell ref="E4:G4"/>
    <mergeCell ref="H4:H5"/>
  </mergeCells>
  <pageMargins left="0.52" right="0.16" top="0.31496062992125984" bottom="0.62992125984251968" header="0.23622047244094491" footer="0.51181102362204722"/>
  <pageSetup paperSize="9" fitToHeight="0" orientation="landscape" r:id="rId1"/>
  <headerFooter alignWithMargins="0"/>
  <rowBreaks count="1" manualBreakCount="1">
    <brk id="35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B1:O39"/>
  <sheetViews>
    <sheetView showGridLines="0" view="pageBreakPreview" topLeftCell="B17" zoomScaleNormal="80" zoomScaleSheetLayoutView="100" workbookViewId="0">
      <selection activeCell="J32" sqref="J32"/>
    </sheetView>
  </sheetViews>
  <sheetFormatPr defaultColWidth="9.140625" defaultRowHeight="14.25"/>
  <cols>
    <col min="1" max="1" width="2.5703125" style="15" customWidth="1"/>
    <col min="2" max="2" width="7" style="15" customWidth="1"/>
    <col min="3" max="3" width="40.7109375" style="15" customWidth="1"/>
    <col min="4" max="4" width="13.28515625" style="15" customWidth="1"/>
    <col min="5" max="5" width="12" style="15" customWidth="1"/>
    <col min="6" max="6" width="12.28515625" style="15" customWidth="1"/>
    <col min="7" max="7" width="12.7109375" style="15" customWidth="1"/>
    <col min="8" max="8" width="12.42578125" style="15" customWidth="1"/>
    <col min="9" max="10" width="15.7109375" style="15" customWidth="1"/>
    <col min="11" max="14" width="16" style="15" bestFit="1" customWidth="1"/>
    <col min="15" max="15" width="15.42578125" style="15" bestFit="1" customWidth="1"/>
    <col min="16" max="16384" width="9.140625" style="15"/>
  </cols>
  <sheetData>
    <row r="1" spans="2:15">
      <c r="B1" s="361"/>
      <c r="C1" s="362"/>
      <c r="D1" s="362"/>
      <c r="E1" s="363" t="s">
        <v>218</v>
      </c>
      <c r="F1" s="362"/>
      <c r="G1" s="362"/>
      <c r="H1" s="363"/>
      <c r="I1" s="5"/>
      <c r="J1" s="5"/>
      <c r="K1" s="5"/>
      <c r="L1" s="5"/>
    </row>
    <row r="2" spans="2:15" s="4" customFormat="1">
      <c r="B2" s="364"/>
      <c r="C2" s="362"/>
      <c r="D2" s="362"/>
      <c r="E2" s="365" t="s">
        <v>163</v>
      </c>
      <c r="F2" s="362"/>
      <c r="G2" s="362"/>
      <c r="H2" s="365"/>
      <c r="I2" s="5"/>
      <c r="J2" s="5"/>
      <c r="K2" s="5"/>
      <c r="L2" s="5"/>
    </row>
    <row r="3" spans="2:15" ht="15">
      <c r="B3" s="361"/>
      <c r="C3" s="361"/>
      <c r="D3" s="361"/>
      <c r="E3" s="361"/>
      <c r="F3" s="361"/>
      <c r="G3" s="361"/>
      <c r="H3" s="366" t="s">
        <v>3</v>
      </c>
      <c r="O3" s="21" t="s">
        <v>3</v>
      </c>
    </row>
    <row r="4" spans="2:15" ht="15.75" customHeight="1">
      <c r="B4" s="444" t="s">
        <v>126</v>
      </c>
      <c r="C4" s="445" t="s">
        <v>14</v>
      </c>
      <c r="D4" s="446" t="s">
        <v>232</v>
      </c>
      <c r="E4" s="444" t="s">
        <v>230</v>
      </c>
      <c r="F4" s="444"/>
      <c r="G4" s="444"/>
      <c r="H4" s="448" t="s">
        <v>231</v>
      </c>
      <c r="I4" s="5"/>
      <c r="J4" s="153"/>
      <c r="K4" s="5"/>
      <c r="L4" s="5"/>
      <c r="M4" s="5"/>
      <c r="N4" s="5"/>
      <c r="O4" s="5"/>
    </row>
    <row r="5" spans="2:15">
      <c r="B5" s="444"/>
      <c r="C5" s="445"/>
      <c r="D5" s="447"/>
      <c r="E5" s="367" t="s">
        <v>139</v>
      </c>
      <c r="F5" s="367" t="s">
        <v>140</v>
      </c>
      <c r="G5" s="367" t="s">
        <v>143</v>
      </c>
      <c r="H5" s="449"/>
      <c r="I5" s="5"/>
      <c r="J5" s="5"/>
      <c r="K5" s="5"/>
      <c r="L5" s="5"/>
      <c r="M5" s="5"/>
      <c r="N5" s="5"/>
      <c r="O5" s="5"/>
    </row>
    <row r="6" spans="2:15">
      <c r="B6" s="444"/>
      <c r="C6" s="445"/>
      <c r="D6" s="367" t="s">
        <v>2</v>
      </c>
      <c r="E6" s="367" t="s">
        <v>2</v>
      </c>
      <c r="F6" s="367" t="s">
        <v>4</v>
      </c>
      <c r="G6" s="367" t="s">
        <v>4</v>
      </c>
      <c r="H6" s="367" t="s">
        <v>7</v>
      </c>
      <c r="I6" s="5"/>
      <c r="J6" s="5"/>
      <c r="K6" s="5"/>
      <c r="L6" s="5"/>
      <c r="M6" s="5"/>
      <c r="N6" s="5"/>
      <c r="O6" s="5"/>
    </row>
    <row r="7" spans="2:15">
      <c r="B7" s="368">
        <v>1</v>
      </c>
      <c r="C7" s="369" t="s">
        <v>67</v>
      </c>
      <c r="D7" s="370">
        <f>(85942.12)/10000000</f>
        <v>8.5942120000000004E-3</v>
      </c>
      <c r="E7" s="370">
        <f>(132500.12)/10000000</f>
        <v>1.3250012E-2</v>
      </c>
      <c r="F7" s="371">
        <f>G7-E7</f>
        <v>-1.3250012E-2</v>
      </c>
      <c r="G7" s="370">
        <f>D7*$K$4</f>
        <v>0</v>
      </c>
      <c r="H7" s="370">
        <f>G7*$K$4</f>
        <v>0</v>
      </c>
      <c r="I7" s="5"/>
      <c r="J7" s="5"/>
      <c r="K7" s="5"/>
      <c r="L7" s="5"/>
      <c r="M7" s="5"/>
      <c r="N7" s="5"/>
      <c r="O7" s="5"/>
    </row>
    <row r="8" spans="2:15">
      <c r="B8" s="368">
        <v>2</v>
      </c>
      <c r="C8" s="372" t="s">
        <v>68</v>
      </c>
      <c r="D8" s="370">
        <f>(31214)/10000000</f>
        <v>3.1213999999999999E-3</v>
      </c>
      <c r="E8" s="373">
        <v>0</v>
      </c>
      <c r="F8" s="370">
        <f t="shared" ref="F8:F33" si="0">G8-E8</f>
        <v>0</v>
      </c>
      <c r="G8" s="370">
        <f t="shared" ref="G8:G34" si="1">D8*$K$4</f>
        <v>0</v>
      </c>
      <c r="H8" s="370">
        <f t="shared" ref="H8:H34" si="2">G8*$K$4</f>
        <v>0</v>
      </c>
      <c r="I8" s="5"/>
      <c r="J8" s="5"/>
      <c r="K8" s="5"/>
      <c r="L8" s="5"/>
      <c r="M8" s="5"/>
      <c r="N8" s="5"/>
      <c r="O8" s="5"/>
    </row>
    <row r="9" spans="2:15">
      <c r="B9" s="368">
        <v>3</v>
      </c>
      <c r="C9" s="372" t="s">
        <v>69</v>
      </c>
      <c r="D9" s="370">
        <f>((301935.89+295))/10000000</f>
        <v>3.0223089000000002E-2</v>
      </c>
      <c r="E9" s="370">
        <f>(90137.2)/10000000</f>
        <v>9.0137199999999994E-3</v>
      </c>
      <c r="F9" s="370">
        <f t="shared" si="0"/>
        <v>-9.0137199999999994E-3</v>
      </c>
      <c r="G9" s="370">
        <f t="shared" si="1"/>
        <v>0</v>
      </c>
      <c r="H9" s="370">
        <f t="shared" si="2"/>
        <v>0</v>
      </c>
      <c r="I9" s="5"/>
      <c r="J9" s="5"/>
      <c r="K9" s="5"/>
      <c r="L9" s="5"/>
      <c r="M9" s="5"/>
      <c r="N9" s="5"/>
      <c r="O9" s="5"/>
    </row>
    <row r="10" spans="2:15">
      <c r="B10" s="368">
        <v>4</v>
      </c>
      <c r="C10" s="372" t="s">
        <v>70</v>
      </c>
      <c r="D10" s="370">
        <v>0</v>
      </c>
      <c r="E10" s="373">
        <v>0</v>
      </c>
      <c r="F10" s="373">
        <v>0</v>
      </c>
      <c r="G10" s="370">
        <f t="shared" si="1"/>
        <v>0</v>
      </c>
      <c r="H10" s="370">
        <f t="shared" si="2"/>
        <v>0</v>
      </c>
      <c r="I10" s="5"/>
      <c r="J10" s="5"/>
      <c r="K10" s="5"/>
      <c r="L10" s="5"/>
      <c r="M10" s="5"/>
      <c r="N10" s="5"/>
      <c r="O10" s="5"/>
    </row>
    <row r="11" spans="2:15">
      <c r="B11" s="368">
        <v>5</v>
      </c>
      <c r="C11" s="372" t="s">
        <v>71</v>
      </c>
      <c r="D11" s="370">
        <f>((3525+88500))/10000000</f>
        <v>9.2025000000000006E-3</v>
      </c>
      <c r="E11" s="373">
        <v>0</v>
      </c>
      <c r="F11" s="370">
        <f t="shared" si="0"/>
        <v>0</v>
      </c>
      <c r="G11" s="370">
        <f t="shared" si="1"/>
        <v>0</v>
      </c>
      <c r="H11" s="370">
        <f t="shared" si="2"/>
        <v>0</v>
      </c>
      <c r="I11" s="5"/>
      <c r="J11" s="5"/>
      <c r="K11" s="5"/>
      <c r="L11" s="5"/>
      <c r="M11" s="5"/>
      <c r="N11" s="5"/>
      <c r="O11" s="5"/>
    </row>
    <row r="12" spans="2:15">
      <c r="B12" s="368">
        <v>6</v>
      </c>
      <c r="C12" s="372" t="s">
        <v>72</v>
      </c>
      <c r="D12" s="370">
        <f>(945643)/10000000</f>
        <v>9.4564300000000004E-2</v>
      </c>
      <c r="E12" s="370">
        <v>4.00171E-2</v>
      </c>
      <c r="F12" s="370">
        <f t="shared" si="0"/>
        <v>-4.00171E-2</v>
      </c>
      <c r="G12" s="370">
        <f t="shared" si="1"/>
        <v>0</v>
      </c>
      <c r="H12" s="370">
        <f t="shared" si="2"/>
        <v>0</v>
      </c>
      <c r="I12" s="5"/>
      <c r="J12" s="5"/>
      <c r="K12" s="5"/>
      <c r="L12" s="5"/>
      <c r="M12" s="5"/>
      <c r="N12" s="5"/>
      <c r="O12" s="5"/>
    </row>
    <row r="13" spans="2:15">
      <c r="B13" s="368">
        <v>7</v>
      </c>
      <c r="C13" s="372" t="s">
        <v>73</v>
      </c>
      <c r="D13" s="373">
        <v>0</v>
      </c>
      <c r="E13" s="373">
        <v>0</v>
      </c>
      <c r="F13" s="373">
        <v>0</v>
      </c>
      <c r="G13" s="370">
        <f t="shared" si="1"/>
        <v>0</v>
      </c>
      <c r="H13" s="370">
        <f t="shared" si="2"/>
        <v>0</v>
      </c>
      <c r="I13" s="5"/>
      <c r="J13" s="5"/>
      <c r="K13" s="5"/>
      <c r="L13" s="5"/>
      <c r="M13" s="5"/>
      <c r="N13" s="5"/>
      <c r="O13" s="5"/>
    </row>
    <row r="14" spans="2:15">
      <c r="B14" s="368">
        <v>8</v>
      </c>
      <c r="C14" s="372" t="s">
        <v>74</v>
      </c>
      <c r="D14" s="373">
        <v>0</v>
      </c>
      <c r="E14" s="373">
        <v>0</v>
      </c>
      <c r="F14" s="373">
        <v>0</v>
      </c>
      <c r="G14" s="370">
        <f t="shared" si="1"/>
        <v>0</v>
      </c>
      <c r="H14" s="370">
        <f t="shared" si="2"/>
        <v>0</v>
      </c>
      <c r="I14" s="5"/>
      <c r="J14" s="5"/>
      <c r="K14" s="5"/>
      <c r="L14" s="5"/>
      <c r="M14" s="5"/>
      <c r="N14" s="5"/>
      <c r="O14" s="5"/>
    </row>
    <row r="15" spans="2:15">
      <c r="B15" s="368">
        <v>9</v>
      </c>
      <c r="C15" s="372" t="s">
        <v>75</v>
      </c>
      <c r="D15" s="373">
        <v>0</v>
      </c>
      <c r="E15" s="373">
        <v>0</v>
      </c>
      <c r="F15" s="373">
        <v>0</v>
      </c>
      <c r="G15" s="370">
        <f t="shared" si="1"/>
        <v>0</v>
      </c>
      <c r="H15" s="370">
        <f t="shared" si="2"/>
        <v>0</v>
      </c>
      <c r="I15" s="5"/>
      <c r="J15" s="5"/>
      <c r="K15" s="5"/>
      <c r="L15" s="5"/>
      <c r="M15" s="5"/>
      <c r="N15" s="5"/>
      <c r="O15" s="5"/>
    </row>
    <row r="16" spans="2:15">
      <c r="B16" s="368">
        <v>10</v>
      </c>
      <c r="C16" s="372" t="s">
        <v>76</v>
      </c>
      <c r="D16" s="370">
        <f>(132608)/10000000</f>
        <v>1.32608E-2</v>
      </c>
      <c r="E16" s="373">
        <v>0</v>
      </c>
      <c r="F16" s="370">
        <f t="shared" si="0"/>
        <v>0</v>
      </c>
      <c r="G16" s="370">
        <f t="shared" si="1"/>
        <v>0</v>
      </c>
      <c r="H16" s="370">
        <f t="shared" si="2"/>
        <v>0</v>
      </c>
      <c r="I16" s="5"/>
      <c r="J16" s="5"/>
      <c r="K16" s="5"/>
      <c r="L16" s="5"/>
      <c r="M16" s="5"/>
      <c r="N16" s="5"/>
      <c r="O16" s="5"/>
    </row>
    <row r="17" spans="2:15">
      <c r="B17" s="368">
        <v>11</v>
      </c>
      <c r="C17" s="372" t="s">
        <v>77</v>
      </c>
      <c r="D17" s="370">
        <f>(25195)/10000000</f>
        <v>2.5195E-3</v>
      </c>
      <c r="E17" s="370">
        <v>3.5084000000000001E-3</v>
      </c>
      <c r="F17" s="371">
        <f t="shared" si="0"/>
        <v>-3.5084000000000001E-3</v>
      </c>
      <c r="G17" s="370">
        <f t="shared" si="1"/>
        <v>0</v>
      </c>
      <c r="H17" s="370">
        <f t="shared" si="2"/>
        <v>0</v>
      </c>
      <c r="I17" s="5"/>
      <c r="J17" s="5"/>
      <c r="K17" s="5"/>
      <c r="L17" s="5"/>
      <c r="M17" s="5"/>
      <c r="N17" s="5"/>
      <c r="O17" s="5"/>
    </row>
    <row r="18" spans="2:15">
      <c r="B18" s="368">
        <v>12</v>
      </c>
      <c r="C18" s="372" t="s">
        <v>78</v>
      </c>
      <c r="D18" s="370">
        <v>0</v>
      </c>
      <c r="E18" s="370">
        <v>0</v>
      </c>
      <c r="F18" s="370">
        <f t="shared" si="0"/>
        <v>0</v>
      </c>
      <c r="G18" s="370">
        <f t="shared" si="1"/>
        <v>0</v>
      </c>
      <c r="H18" s="370">
        <f t="shared" si="2"/>
        <v>0</v>
      </c>
      <c r="I18" s="5"/>
      <c r="J18" s="5"/>
      <c r="K18" s="5"/>
      <c r="L18" s="5"/>
      <c r="M18" s="5"/>
      <c r="N18" s="5"/>
      <c r="O18" s="5"/>
    </row>
    <row r="19" spans="2:15">
      <c r="B19" s="368">
        <v>13</v>
      </c>
      <c r="C19" s="372" t="s">
        <v>79</v>
      </c>
      <c r="D19" s="370">
        <f>(141922)/10000000</f>
        <v>1.41922E-2</v>
      </c>
      <c r="E19" s="370">
        <v>0.01</v>
      </c>
      <c r="F19" s="370">
        <f>G19-E19</f>
        <v>-0.01</v>
      </c>
      <c r="G19" s="370">
        <f t="shared" si="1"/>
        <v>0</v>
      </c>
      <c r="H19" s="370">
        <f t="shared" si="2"/>
        <v>0</v>
      </c>
      <c r="I19" s="5"/>
      <c r="J19" s="5"/>
      <c r="K19" s="5"/>
      <c r="L19" s="5"/>
      <c r="M19" s="5"/>
      <c r="N19" s="5"/>
      <c r="O19" s="5"/>
    </row>
    <row r="20" spans="2:15">
      <c r="B20" s="368">
        <v>14</v>
      </c>
      <c r="C20" s="372" t="s">
        <v>80</v>
      </c>
      <c r="D20" s="373">
        <v>0</v>
      </c>
      <c r="E20" s="373">
        <v>0</v>
      </c>
      <c r="F20" s="373">
        <v>0</v>
      </c>
      <c r="G20" s="370">
        <f t="shared" si="1"/>
        <v>0</v>
      </c>
      <c r="H20" s="370">
        <f t="shared" si="2"/>
        <v>0</v>
      </c>
      <c r="I20" s="5"/>
      <c r="J20" s="5"/>
      <c r="K20" s="5"/>
      <c r="L20" s="5"/>
      <c r="M20" s="5"/>
      <c r="N20" s="5"/>
      <c r="O20" s="5"/>
    </row>
    <row r="21" spans="2:15">
      <c r="B21" s="368">
        <v>15</v>
      </c>
      <c r="C21" s="372" t="s">
        <v>81</v>
      </c>
      <c r="D21" s="373">
        <v>0</v>
      </c>
      <c r="E21" s="373">
        <v>0</v>
      </c>
      <c r="F21" s="373">
        <v>0</v>
      </c>
      <c r="G21" s="370">
        <f t="shared" si="1"/>
        <v>0</v>
      </c>
      <c r="H21" s="370">
        <f t="shared" si="2"/>
        <v>0</v>
      </c>
      <c r="I21" s="5"/>
      <c r="J21" s="5"/>
      <c r="K21" s="5"/>
      <c r="L21" s="5"/>
      <c r="M21" s="5"/>
      <c r="N21" s="5"/>
      <c r="O21" s="5"/>
    </row>
    <row r="22" spans="2:15">
      <c r="B22" s="368">
        <v>16</v>
      </c>
      <c r="C22" s="369" t="s">
        <v>82</v>
      </c>
      <c r="D22" s="373">
        <v>0</v>
      </c>
      <c r="E22" s="373">
        <v>0</v>
      </c>
      <c r="F22" s="373">
        <v>0</v>
      </c>
      <c r="G22" s="370">
        <f t="shared" si="1"/>
        <v>0</v>
      </c>
      <c r="H22" s="370">
        <f t="shared" si="2"/>
        <v>0</v>
      </c>
      <c r="I22" s="5"/>
      <c r="J22" s="5"/>
      <c r="K22" s="5"/>
      <c r="L22" s="5"/>
      <c r="M22" s="5"/>
      <c r="N22" s="5"/>
      <c r="O22" s="5"/>
    </row>
    <row r="23" spans="2:15">
      <c r="B23" s="368">
        <v>17</v>
      </c>
      <c r="C23" s="369" t="s">
        <v>83</v>
      </c>
      <c r="D23" s="373">
        <v>0</v>
      </c>
      <c r="E23" s="373">
        <v>0</v>
      </c>
      <c r="F23" s="373">
        <v>0</v>
      </c>
      <c r="G23" s="370">
        <f t="shared" si="1"/>
        <v>0</v>
      </c>
      <c r="H23" s="370">
        <f t="shared" si="2"/>
        <v>0</v>
      </c>
      <c r="I23" s="5"/>
      <c r="J23" s="5"/>
      <c r="K23" s="5"/>
      <c r="L23" s="5"/>
      <c r="M23" s="5"/>
      <c r="N23" s="5"/>
      <c r="O23" s="5"/>
    </row>
    <row r="24" spans="2:15">
      <c r="B24" s="368">
        <v>18</v>
      </c>
      <c r="C24" s="372" t="s">
        <v>84</v>
      </c>
      <c r="D24" s="373">
        <v>0</v>
      </c>
      <c r="E24" s="373">
        <v>0</v>
      </c>
      <c r="F24" s="373">
        <v>0</v>
      </c>
      <c r="G24" s="370">
        <f t="shared" si="1"/>
        <v>0</v>
      </c>
      <c r="H24" s="370">
        <f t="shared" si="2"/>
        <v>0</v>
      </c>
      <c r="I24" s="5"/>
      <c r="J24" s="5"/>
      <c r="K24" s="5"/>
      <c r="L24" s="5"/>
      <c r="M24" s="5"/>
      <c r="N24" s="5"/>
      <c r="O24" s="5"/>
    </row>
    <row r="25" spans="2:15">
      <c r="B25" s="368">
        <v>19</v>
      </c>
      <c r="C25" s="372" t="s">
        <v>234</v>
      </c>
      <c r="D25" s="370">
        <f>(3216282.86)/10000000</f>
        <v>0.32162828599999999</v>
      </c>
      <c r="E25" s="370">
        <v>0.11398493</v>
      </c>
      <c r="F25" s="370">
        <f t="shared" si="0"/>
        <v>-0.11398493</v>
      </c>
      <c r="G25" s="370">
        <f t="shared" si="1"/>
        <v>0</v>
      </c>
      <c r="H25" s="370">
        <f t="shared" si="2"/>
        <v>0</v>
      </c>
      <c r="I25" s="5"/>
      <c r="J25" s="5"/>
      <c r="K25" s="5"/>
      <c r="L25" s="5"/>
      <c r="M25" s="5"/>
      <c r="N25" s="5"/>
      <c r="O25" s="5"/>
    </row>
    <row r="26" spans="2:15">
      <c r="B26" s="368">
        <v>20</v>
      </c>
      <c r="C26" s="372" t="s">
        <v>85</v>
      </c>
      <c r="D26" s="373">
        <v>0</v>
      </c>
      <c r="E26" s="373">
        <v>0</v>
      </c>
      <c r="F26" s="373">
        <v>0</v>
      </c>
      <c r="G26" s="370">
        <f t="shared" si="1"/>
        <v>0</v>
      </c>
      <c r="H26" s="370">
        <f t="shared" si="2"/>
        <v>0</v>
      </c>
      <c r="I26" s="5"/>
      <c r="J26" s="5"/>
      <c r="K26" s="5"/>
      <c r="L26" s="5"/>
      <c r="M26" s="5"/>
      <c r="N26" s="5"/>
      <c r="O26" s="5"/>
    </row>
    <row r="27" spans="2:15">
      <c r="B27" s="368">
        <v>21</v>
      </c>
      <c r="C27" s="372" t="s">
        <v>86</v>
      </c>
      <c r="D27" s="373">
        <v>0</v>
      </c>
      <c r="E27" s="373">
        <v>0</v>
      </c>
      <c r="F27" s="373">
        <v>0</v>
      </c>
      <c r="G27" s="370">
        <f t="shared" si="1"/>
        <v>0</v>
      </c>
      <c r="H27" s="370">
        <f t="shared" si="2"/>
        <v>0</v>
      </c>
      <c r="I27" s="5"/>
      <c r="J27" s="5"/>
      <c r="K27" s="5"/>
      <c r="L27" s="5"/>
      <c r="M27" s="5"/>
      <c r="N27" s="5"/>
      <c r="O27" s="5"/>
    </row>
    <row r="28" spans="2:15">
      <c r="B28" s="368">
        <v>22</v>
      </c>
      <c r="C28" s="372" t="s">
        <v>87</v>
      </c>
      <c r="D28" s="373">
        <v>0</v>
      </c>
      <c r="E28" s="373">
        <v>0</v>
      </c>
      <c r="F28" s="373">
        <v>0</v>
      </c>
      <c r="G28" s="370">
        <f t="shared" si="1"/>
        <v>0</v>
      </c>
      <c r="H28" s="370">
        <f t="shared" si="2"/>
        <v>0</v>
      </c>
      <c r="I28" s="5"/>
      <c r="J28" s="5"/>
      <c r="K28" s="5"/>
      <c r="L28" s="5"/>
      <c r="M28" s="5"/>
      <c r="N28" s="5"/>
      <c r="O28" s="5"/>
    </row>
    <row r="29" spans="2:15">
      <c r="B29" s="368">
        <v>23</v>
      </c>
      <c r="C29" s="372" t="s">
        <v>88</v>
      </c>
      <c r="D29" s="373">
        <v>0</v>
      </c>
      <c r="E29" s="373">
        <v>0</v>
      </c>
      <c r="F29" s="373">
        <v>0</v>
      </c>
      <c r="G29" s="370">
        <f t="shared" si="1"/>
        <v>0</v>
      </c>
      <c r="H29" s="370">
        <f t="shared" si="2"/>
        <v>0</v>
      </c>
      <c r="I29" s="5"/>
      <c r="J29" s="5"/>
      <c r="K29" s="5"/>
      <c r="L29" s="5"/>
      <c r="M29" s="5"/>
      <c r="N29" s="5"/>
      <c r="O29" s="5"/>
    </row>
    <row r="30" spans="2:15">
      <c r="B30" s="368">
        <v>24</v>
      </c>
      <c r="C30" s="374" t="s">
        <v>89</v>
      </c>
      <c r="D30" s="370">
        <f>(495128)/10000000</f>
        <v>4.9512800000000003E-2</v>
      </c>
      <c r="E30" s="373">
        <v>0</v>
      </c>
      <c r="F30" s="370">
        <f t="shared" si="0"/>
        <v>0</v>
      </c>
      <c r="G30" s="370">
        <f t="shared" si="1"/>
        <v>0</v>
      </c>
      <c r="H30" s="370">
        <f t="shared" si="2"/>
        <v>0</v>
      </c>
      <c r="I30" s="5"/>
      <c r="J30" s="5"/>
      <c r="K30" s="5"/>
      <c r="L30" s="5"/>
      <c r="M30" s="5"/>
      <c r="N30" s="5"/>
      <c r="O30" s="5"/>
    </row>
    <row r="31" spans="2:15">
      <c r="B31" s="368">
        <v>25</v>
      </c>
      <c r="C31" s="372" t="s">
        <v>90</v>
      </c>
      <c r="D31" s="370">
        <v>0</v>
      </c>
      <c r="E31" s="373">
        <v>0</v>
      </c>
      <c r="F31" s="370">
        <f t="shared" si="0"/>
        <v>0</v>
      </c>
      <c r="G31" s="370">
        <f t="shared" si="1"/>
        <v>0</v>
      </c>
      <c r="H31" s="370">
        <f t="shared" si="2"/>
        <v>0</v>
      </c>
      <c r="I31" s="5"/>
      <c r="J31" s="5"/>
      <c r="K31" s="5"/>
      <c r="L31" s="5"/>
      <c r="M31" s="5"/>
      <c r="N31" s="5"/>
      <c r="O31" s="5"/>
    </row>
    <row r="32" spans="2:15">
      <c r="B32" s="368">
        <v>26</v>
      </c>
      <c r="C32" s="372" t="s">
        <v>91</v>
      </c>
      <c r="D32" s="370">
        <f>(219320.05)/10000000</f>
        <v>2.1932004999999997E-2</v>
      </c>
      <c r="E32" s="370">
        <v>9.2970520000000001E-3</v>
      </c>
      <c r="F32" s="370">
        <f t="shared" si="0"/>
        <v>-9.2970520000000001E-3</v>
      </c>
      <c r="G32" s="370">
        <f t="shared" si="1"/>
        <v>0</v>
      </c>
      <c r="H32" s="370">
        <f t="shared" si="2"/>
        <v>0</v>
      </c>
      <c r="I32" s="5"/>
      <c r="J32" s="5"/>
      <c r="K32" s="5"/>
      <c r="L32" s="5"/>
      <c r="M32" s="5"/>
      <c r="N32" s="5"/>
      <c r="O32" s="5"/>
    </row>
    <row r="33" spans="2:15">
      <c r="B33" s="368">
        <v>27</v>
      </c>
      <c r="C33" s="372" t="s">
        <v>92</v>
      </c>
      <c r="D33" s="370">
        <f>(161346)/10000000</f>
        <v>1.6134599999999999E-2</v>
      </c>
      <c r="E33" s="370">
        <v>1.01929E-2</v>
      </c>
      <c r="F33" s="370">
        <f t="shared" si="0"/>
        <v>-1.01929E-2</v>
      </c>
      <c r="G33" s="370">
        <f t="shared" si="1"/>
        <v>0</v>
      </c>
      <c r="H33" s="370">
        <f t="shared" si="2"/>
        <v>0</v>
      </c>
      <c r="I33" s="5"/>
      <c r="J33" s="5"/>
      <c r="K33" s="5"/>
      <c r="L33" s="5"/>
      <c r="M33" s="5"/>
      <c r="N33" s="5"/>
      <c r="O33" s="5"/>
    </row>
    <row r="34" spans="2:15">
      <c r="B34" s="368">
        <v>28</v>
      </c>
      <c r="C34" s="372" t="s">
        <v>64</v>
      </c>
      <c r="D34" s="373">
        <v>0</v>
      </c>
      <c r="E34" s="373">
        <v>0</v>
      </c>
      <c r="F34" s="373">
        <v>0</v>
      </c>
      <c r="G34" s="370">
        <f t="shared" si="1"/>
        <v>0</v>
      </c>
      <c r="H34" s="370">
        <f t="shared" si="2"/>
        <v>0</v>
      </c>
      <c r="I34" s="5"/>
      <c r="J34" s="5"/>
      <c r="K34" s="5"/>
      <c r="L34" s="5"/>
      <c r="M34" s="5"/>
      <c r="N34" s="5"/>
      <c r="O34" s="5"/>
    </row>
    <row r="35" spans="2:15">
      <c r="B35" s="368">
        <v>29</v>
      </c>
      <c r="C35" s="375" t="s">
        <v>93</v>
      </c>
      <c r="D35" s="376">
        <f>SUM(D7:D34)</f>
        <v>0.58488569200000007</v>
      </c>
      <c r="E35" s="376">
        <f>SUM(E7:E34)</f>
        <v>0.209264114</v>
      </c>
      <c r="F35" s="376">
        <f>SUM(F7:F34)</f>
        <v>-0.209264114</v>
      </c>
      <c r="G35" s="376">
        <f>SUM(G7:G34)</f>
        <v>0</v>
      </c>
      <c r="H35" s="376">
        <f>SUM(H7:H34)</f>
        <v>0</v>
      </c>
      <c r="I35" s="5"/>
      <c r="J35" s="5"/>
      <c r="K35" s="5"/>
      <c r="L35" s="5"/>
      <c r="M35" s="5"/>
      <c r="N35" s="5"/>
      <c r="O35" s="5"/>
    </row>
    <row r="36" spans="2:15">
      <c r="B36" s="368">
        <v>30</v>
      </c>
      <c r="C36" s="377" t="s">
        <v>13</v>
      </c>
      <c r="D36" s="376">
        <v>0</v>
      </c>
      <c r="E36" s="376">
        <v>0</v>
      </c>
      <c r="F36" s="376">
        <f t="shared" ref="F36" si="3">E36*1.1</f>
        <v>0</v>
      </c>
      <c r="G36" s="376">
        <f t="shared" ref="G36" si="4">E36+F36</f>
        <v>0</v>
      </c>
      <c r="H36" s="376">
        <f t="shared" ref="H36" si="5">G36*1.0493</f>
        <v>0</v>
      </c>
      <c r="I36" s="5"/>
      <c r="J36" s="5"/>
      <c r="K36" s="5"/>
      <c r="L36" s="5"/>
      <c r="M36" s="5"/>
      <c r="N36" s="5"/>
      <c r="O36" s="5"/>
    </row>
    <row r="37" spans="2:15">
      <c r="B37" s="368">
        <v>31</v>
      </c>
      <c r="C37" s="378" t="s">
        <v>94</v>
      </c>
      <c r="D37" s="376">
        <f>SUM(D35+D36)</f>
        <v>0.58488569200000007</v>
      </c>
      <c r="E37" s="376">
        <f t="shared" ref="E37:H37" si="6">SUM(E35+E36)</f>
        <v>0.209264114</v>
      </c>
      <c r="F37" s="376">
        <f t="shared" si="6"/>
        <v>-0.209264114</v>
      </c>
      <c r="G37" s="376">
        <f t="shared" si="6"/>
        <v>0</v>
      </c>
      <c r="H37" s="376">
        <f t="shared" si="6"/>
        <v>0</v>
      </c>
      <c r="I37" s="5"/>
      <c r="J37" s="5"/>
      <c r="K37" s="5"/>
      <c r="L37" s="5"/>
      <c r="M37" s="5"/>
      <c r="N37" s="5"/>
      <c r="O37" s="5"/>
    </row>
    <row r="38" spans="2:15" ht="12.75" customHeight="1">
      <c r="B38" s="441"/>
      <c r="C38" s="442"/>
      <c r="D38" s="442"/>
      <c r="E38" s="442"/>
      <c r="F38" s="442"/>
      <c r="G38" s="442"/>
      <c r="H38" s="443"/>
    </row>
    <row r="39" spans="2:15" ht="33" customHeight="1">
      <c r="B39" s="440" t="s">
        <v>349</v>
      </c>
      <c r="C39" s="440"/>
      <c r="D39" s="440"/>
      <c r="E39" s="440"/>
      <c r="F39" s="440"/>
      <c r="G39" s="440"/>
      <c r="H39" s="440"/>
      <c r="J39" s="15">
        <v>10000000</v>
      </c>
    </row>
  </sheetData>
  <mergeCells count="7">
    <mergeCell ref="B39:H39"/>
    <mergeCell ref="B38:H38"/>
    <mergeCell ref="B4:B6"/>
    <mergeCell ref="C4:C6"/>
    <mergeCell ref="D4:D5"/>
    <mergeCell ref="E4:G4"/>
    <mergeCell ref="H4:H5"/>
  </mergeCells>
  <pageMargins left="0.74803149606299213" right="0.6692913385826772" top="0.15748031496062992" bottom="0.23622047244094491" header="0.31496062992125984" footer="0.1574803149606299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B1:O30"/>
  <sheetViews>
    <sheetView showGridLines="0" view="pageBreakPreview" zoomScale="90" zoomScaleNormal="80" zoomScaleSheetLayoutView="90" workbookViewId="0">
      <selection activeCell="J19" sqref="J19"/>
    </sheetView>
  </sheetViews>
  <sheetFormatPr defaultColWidth="9.140625" defaultRowHeight="14.25"/>
  <cols>
    <col min="1" max="1" width="2.5703125" style="15" customWidth="1"/>
    <col min="2" max="2" width="8.7109375" style="39" customWidth="1"/>
    <col min="3" max="3" width="43.5703125" style="15" customWidth="1"/>
    <col min="4" max="4" width="14.28515625" style="15" customWidth="1"/>
    <col min="5" max="5" width="12.5703125" style="15" customWidth="1"/>
    <col min="6" max="6" width="13.28515625" style="15" customWidth="1"/>
    <col min="7" max="7" width="14" style="15" customWidth="1"/>
    <col min="8" max="8" width="14.140625" style="15" customWidth="1"/>
    <col min="9" max="9" width="15.7109375" style="15" customWidth="1"/>
    <col min="10" max="10" width="18.42578125" style="15" bestFit="1" customWidth="1"/>
    <col min="11" max="12" width="17.140625" style="15" bestFit="1" customWidth="1"/>
    <col min="13" max="14" width="16" style="15" bestFit="1" customWidth="1"/>
    <col min="15" max="15" width="15.42578125" style="15" bestFit="1" customWidth="1"/>
    <col min="16" max="16384" width="9.140625" style="15"/>
  </cols>
  <sheetData>
    <row r="1" spans="2:15" ht="15">
      <c r="C1" s="5"/>
      <c r="D1" s="5"/>
      <c r="E1" s="25" t="s">
        <v>218</v>
      </c>
      <c r="F1" s="5"/>
      <c r="G1" s="5"/>
      <c r="H1" s="25"/>
      <c r="I1" s="5"/>
      <c r="J1" s="5"/>
      <c r="K1" s="5"/>
      <c r="L1" s="5"/>
    </row>
    <row r="2" spans="2:15" s="4" customFormat="1" ht="15">
      <c r="C2" s="5"/>
      <c r="D2" s="5"/>
      <c r="E2" s="27" t="s">
        <v>164</v>
      </c>
      <c r="F2" s="5"/>
      <c r="G2" s="5"/>
      <c r="H2" s="27"/>
      <c r="I2" s="5"/>
      <c r="J2" s="5"/>
      <c r="K2" s="5"/>
      <c r="L2" s="5"/>
    </row>
    <row r="3" spans="2:15" ht="15">
      <c r="H3" s="21" t="s">
        <v>3</v>
      </c>
      <c r="O3" s="21" t="s">
        <v>3</v>
      </c>
    </row>
    <row r="4" spans="2:15" ht="17.25" customHeight="1">
      <c r="B4" s="454" t="s">
        <v>126</v>
      </c>
      <c r="C4" s="455" t="s">
        <v>14</v>
      </c>
      <c r="D4" s="456" t="s">
        <v>232</v>
      </c>
      <c r="E4" s="454" t="s">
        <v>230</v>
      </c>
      <c r="F4" s="454"/>
      <c r="G4" s="454"/>
      <c r="H4" s="457" t="s">
        <v>231</v>
      </c>
    </row>
    <row r="5" spans="2:15" ht="15">
      <c r="B5" s="454"/>
      <c r="C5" s="455"/>
      <c r="D5" s="456"/>
      <c r="E5" s="60" t="s">
        <v>139</v>
      </c>
      <c r="F5" s="60" t="s">
        <v>140</v>
      </c>
      <c r="G5" s="60" t="s">
        <v>143</v>
      </c>
      <c r="H5" s="457"/>
      <c r="J5" s="15" t="s">
        <v>254</v>
      </c>
    </row>
    <row r="6" spans="2:15" ht="15">
      <c r="B6" s="454"/>
      <c r="C6" s="455"/>
      <c r="D6" s="60" t="s">
        <v>2</v>
      </c>
      <c r="E6" s="60" t="s">
        <v>2</v>
      </c>
      <c r="F6" s="60" t="s">
        <v>4</v>
      </c>
      <c r="G6" s="60" t="s">
        <v>4</v>
      </c>
      <c r="H6" s="60" t="s">
        <v>7</v>
      </c>
      <c r="L6" s="64"/>
    </row>
    <row r="7" spans="2:15" ht="15">
      <c r="B7" s="2">
        <v>1</v>
      </c>
      <c r="C7" s="37" t="s">
        <v>95</v>
      </c>
      <c r="D7" s="112">
        <f>(89212.27)/10000000</f>
        <v>8.9212270000000003E-3</v>
      </c>
      <c r="E7" s="112">
        <f>(89212.27)/10000000</f>
        <v>8.9212270000000003E-3</v>
      </c>
      <c r="F7" s="112">
        <f>G7-E7</f>
        <v>0.51419017001788592</v>
      </c>
      <c r="G7" s="313">
        <f>G16*K23</f>
        <v>0.52311139701788589</v>
      </c>
      <c r="H7" s="313">
        <f>H16*(K23-0.04)</f>
        <v>0.4630259356142532</v>
      </c>
      <c r="I7" s="61"/>
      <c r="J7" s="64">
        <v>87630503.769999996</v>
      </c>
      <c r="K7" s="61">
        <f>J7/$J$15</f>
        <v>0.20838041537563243</v>
      </c>
      <c r="L7" s="66">
        <f>$K$16*K7</f>
        <v>0.31398738451441477</v>
      </c>
      <c r="M7" s="15" t="s">
        <v>245</v>
      </c>
      <c r="N7" s="37" t="s">
        <v>95</v>
      </c>
    </row>
    <row r="8" spans="2:15" ht="15">
      <c r="B8" s="2">
        <v>2</v>
      </c>
      <c r="C8" s="37" t="s">
        <v>96</v>
      </c>
      <c r="D8" s="112">
        <v>0</v>
      </c>
      <c r="E8" s="112">
        <v>0</v>
      </c>
      <c r="F8" s="112">
        <f t="shared" ref="F8:F15" si="0">G8-E8</f>
        <v>1.8154396201083462E-2</v>
      </c>
      <c r="G8" s="112">
        <f>G16*K21</f>
        <v>1.8154396201083462E-2</v>
      </c>
      <c r="H8" s="313">
        <f>H16*K21</f>
        <v>1.8160868455769419E-2</v>
      </c>
      <c r="I8" s="61"/>
      <c r="J8" s="64">
        <v>15875774.42</v>
      </c>
      <c r="K8" s="61">
        <f t="shared" ref="K8:K15" si="1">J8/$J$15</f>
        <v>3.7751699758937038E-2</v>
      </c>
      <c r="L8" s="66">
        <f t="shared" ref="L8:L15" si="2">$K$16*K8</f>
        <v>5.6884220366460757E-2</v>
      </c>
      <c r="M8" s="15" t="s">
        <v>246</v>
      </c>
      <c r="N8" s="37" t="s">
        <v>96</v>
      </c>
    </row>
    <row r="9" spans="2:15" ht="15">
      <c r="B9" s="2">
        <v>3</v>
      </c>
      <c r="C9" s="37" t="s">
        <v>97</v>
      </c>
      <c r="D9" s="112">
        <v>0</v>
      </c>
      <c r="E9" s="112">
        <v>0</v>
      </c>
      <c r="F9" s="112">
        <f t="shared" si="0"/>
        <v>0</v>
      </c>
      <c r="G9" s="112">
        <v>0</v>
      </c>
      <c r="H9" s="313">
        <f>H16*4%</f>
        <v>6.0271956738048006E-2</v>
      </c>
      <c r="I9" s="61"/>
      <c r="J9" s="64">
        <v>131119881.33</v>
      </c>
      <c r="K9" s="61">
        <f t="shared" si="1"/>
        <v>0.31179571222438762</v>
      </c>
      <c r="L9" s="66">
        <f t="shared" si="2"/>
        <v>0.46981344195742891</v>
      </c>
      <c r="M9" s="15" t="s">
        <v>247</v>
      </c>
      <c r="N9" s="37" t="s">
        <v>97</v>
      </c>
    </row>
    <row r="10" spans="2:15" ht="15">
      <c r="B10" s="2">
        <v>4</v>
      </c>
      <c r="C10" s="37" t="s">
        <v>98</v>
      </c>
      <c r="D10" s="112">
        <v>0</v>
      </c>
      <c r="E10" s="112">
        <v>0</v>
      </c>
      <c r="F10" s="112">
        <f t="shared" si="0"/>
        <v>0</v>
      </c>
      <c r="G10" s="112">
        <v>0</v>
      </c>
      <c r="H10" s="313">
        <v>0</v>
      </c>
      <c r="I10" s="61"/>
      <c r="J10" s="64">
        <v>8718559.4900000002</v>
      </c>
      <c r="K10" s="61">
        <f t="shared" si="1"/>
        <v>2.0732244707525344E-2</v>
      </c>
      <c r="L10" s="64">
        <f t="shared" si="2"/>
        <v>3.1239323902364804E-2</v>
      </c>
      <c r="M10" s="15" t="s">
        <v>248</v>
      </c>
      <c r="N10" s="37" t="s">
        <v>98</v>
      </c>
    </row>
    <row r="11" spans="2:15" ht="15">
      <c r="B11" s="2">
        <v>5</v>
      </c>
      <c r="C11" s="37" t="s">
        <v>99</v>
      </c>
      <c r="D11" s="113">
        <v>0</v>
      </c>
      <c r="E11" s="113">
        <v>0</v>
      </c>
      <c r="F11" s="112">
        <f t="shared" si="0"/>
        <v>0</v>
      </c>
      <c r="G11" s="112">
        <v>0</v>
      </c>
      <c r="H11" s="313">
        <v>0</v>
      </c>
      <c r="I11" s="61"/>
      <c r="J11" s="64">
        <v>29072123.350000001</v>
      </c>
      <c r="K11" s="61">
        <f t="shared" si="1"/>
        <v>6.9131876217726138E-2</v>
      </c>
      <c r="L11" s="64">
        <f t="shared" si="2"/>
        <v>0.10416783631537198</v>
      </c>
      <c r="M11" s="15" t="s">
        <v>249</v>
      </c>
      <c r="N11" s="37" t="s">
        <v>99</v>
      </c>
    </row>
    <row r="12" spans="2:15" ht="15">
      <c r="B12" s="2">
        <v>6</v>
      </c>
      <c r="C12" s="37" t="s">
        <v>100</v>
      </c>
      <c r="D12" s="113">
        <v>0</v>
      </c>
      <c r="E12" s="113">
        <v>0</v>
      </c>
      <c r="F12" s="112">
        <f t="shared" si="0"/>
        <v>0</v>
      </c>
      <c r="G12" s="112">
        <v>0</v>
      </c>
      <c r="H12" s="313">
        <v>0</v>
      </c>
      <c r="I12" s="61"/>
      <c r="J12" s="64">
        <v>3188712.66</v>
      </c>
      <c r="K12" s="61">
        <f t="shared" si="1"/>
        <v>7.5825795815157148E-3</v>
      </c>
      <c r="L12" s="66">
        <f t="shared" si="2"/>
        <v>1.1425422712498032E-2</v>
      </c>
      <c r="M12" s="15" t="s">
        <v>250</v>
      </c>
      <c r="N12" s="37" t="s">
        <v>100</v>
      </c>
    </row>
    <row r="13" spans="2:15" ht="15">
      <c r="B13" s="2">
        <v>7</v>
      </c>
      <c r="C13" s="37" t="s">
        <v>101</v>
      </c>
      <c r="D13" s="113">
        <v>0</v>
      </c>
      <c r="E13" s="113">
        <v>0</v>
      </c>
      <c r="F13" s="112">
        <f t="shared" si="0"/>
        <v>1.4433241361156986E-2</v>
      </c>
      <c r="G13" s="112">
        <f>G16*K26</f>
        <v>1.4433241361156986E-2</v>
      </c>
      <c r="H13" s="313">
        <f>H16*K26</f>
        <v>1.4438386980598064E-2</v>
      </c>
      <c r="I13" s="61"/>
      <c r="J13" s="64">
        <v>45236839.909999996</v>
      </c>
      <c r="K13" s="61">
        <f t="shared" si="1"/>
        <v>0.1075706641544369</v>
      </c>
      <c r="L13" s="64">
        <f t="shared" si="2"/>
        <v>0.16208736040498281</v>
      </c>
      <c r="M13" s="15" t="s">
        <v>251</v>
      </c>
      <c r="N13" s="37" t="s">
        <v>101</v>
      </c>
    </row>
    <row r="14" spans="2:15" ht="15">
      <c r="B14" s="2">
        <v>8</v>
      </c>
      <c r="C14" s="37" t="s">
        <v>102</v>
      </c>
      <c r="D14" s="113">
        <f>(499855.58+7741368.48+139435.04)/10000000</f>
        <v>0.83806591000000008</v>
      </c>
      <c r="E14" s="113">
        <v>0.78711329600000002</v>
      </c>
      <c r="F14" s="112">
        <f>G14-E14-0.01</f>
        <v>-8.3017261489913938E-2</v>
      </c>
      <c r="G14" s="112">
        <f>G16*K28</f>
        <v>0.71409603451008608</v>
      </c>
      <c r="H14" s="313">
        <f>H16*K28</f>
        <v>0.71435061810264344</v>
      </c>
      <c r="I14" s="61"/>
      <c r="J14" s="64">
        <v>99688985.680000007</v>
      </c>
      <c r="K14" s="61">
        <f t="shared" si="1"/>
        <v>0.23705480797983863</v>
      </c>
      <c r="L14" s="66">
        <f t="shared" si="2"/>
        <v>0.35719392827767776</v>
      </c>
      <c r="M14" s="15" t="s">
        <v>252</v>
      </c>
      <c r="N14" s="37" t="s">
        <v>102</v>
      </c>
    </row>
    <row r="15" spans="2:15" ht="15">
      <c r="B15" s="2">
        <v>9</v>
      </c>
      <c r="C15" s="37" t="s">
        <v>244</v>
      </c>
      <c r="D15" s="113">
        <v>0</v>
      </c>
      <c r="E15" s="113">
        <f>(279566.61+326016)/10000000</f>
        <v>6.0558260999999995E-2</v>
      </c>
      <c r="F15" s="112">
        <f t="shared" si="0"/>
        <v>0.17590858836098766</v>
      </c>
      <c r="G15" s="112">
        <f>G16*K27</f>
        <v>0.23646684936098766</v>
      </c>
      <c r="H15" s="313">
        <f>H16*K27</f>
        <v>0.23655115255988773</v>
      </c>
      <c r="I15" s="61"/>
      <c r="J15" s="65">
        <f>SUM(J7:J14)</f>
        <v>420531380.61000007</v>
      </c>
      <c r="K15" s="61">
        <f t="shared" si="1"/>
        <v>1</v>
      </c>
      <c r="L15" s="65">
        <f t="shared" si="2"/>
        <v>1.5067989184512001</v>
      </c>
      <c r="N15" s="37" t="s">
        <v>244</v>
      </c>
    </row>
    <row r="16" spans="2:15" ht="15.75">
      <c r="B16" s="2">
        <v>9</v>
      </c>
      <c r="C16" s="38" t="s">
        <v>103</v>
      </c>
      <c r="D16" s="114">
        <f>SUM(D7:D15)</f>
        <v>0.84698713700000006</v>
      </c>
      <c r="E16" s="114">
        <f>SUM(E7:E15)</f>
        <v>0.85659278399999994</v>
      </c>
      <c r="F16" s="115">
        <f>SUM(F7:F15)</f>
        <v>0.63966913445120011</v>
      </c>
      <c r="G16" s="115">
        <f>G18*5%*107.4%</f>
        <v>1.5062619184512003</v>
      </c>
      <c r="H16" s="115">
        <f>(H18*5%)*1.074</f>
        <v>1.5067989184512001</v>
      </c>
      <c r="I16" s="61"/>
      <c r="K16" s="63">
        <f>H16</f>
        <v>1.5067989184512001</v>
      </c>
    </row>
    <row r="17" spans="2:14" ht="15">
      <c r="B17" s="2"/>
      <c r="C17" s="36"/>
      <c r="D17" s="113"/>
      <c r="E17" s="113"/>
      <c r="F17" s="113"/>
      <c r="G17" s="113"/>
      <c r="H17" s="113"/>
    </row>
    <row r="18" spans="2:14" ht="15">
      <c r="B18" s="2">
        <v>10</v>
      </c>
      <c r="C18" s="40" t="s">
        <v>104</v>
      </c>
      <c r="D18" s="113">
        <v>19.257773206</v>
      </c>
      <c r="E18" s="113"/>
      <c r="F18" s="113"/>
      <c r="G18" s="113">
        <f>'F4'!$I$11</f>
        <v>28.049570176000003</v>
      </c>
      <c r="H18" s="113">
        <f>'F4'!I24</f>
        <v>28.059570175999998</v>
      </c>
    </row>
    <row r="19" spans="2:14" ht="28.5">
      <c r="B19" s="2">
        <v>11</v>
      </c>
      <c r="C19" s="40" t="s">
        <v>105</v>
      </c>
      <c r="D19" s="107">
        <f>D16/D18</f>
        <v>4.3981571905525957E-2</v>
      </c>
      <c r="E19" s="116"/>
      <c r="F19" s="116"/>
      <c r="G19" s="117">
        <f>G16/G18</f>
        <v>5.3700000000000005E-2</v>
      </c>
      <c r="H19" s="117">
        <f>H16/H18</f>
        <v>5.3700000000000005E-2</v>
      </c>
      <c r="J19" s="15" t="s">
        <v>253</v>
      </c>
    </row>
    <row r="20" spans="2:14">
      <c r="B20" s="2"/>
      <c r="C20" s="36"/>
      <c r="D20" s="57"/>
      <c r="E20" s="57"/>
      <c r="F20" s="57"/>
      <c r="G20" s="57"/>
      <c r="H20" s="57"/>
      <c r="L20" s="64"/>
    </row>
    <row r="21" spans="2:14">
      <c r="B21" s="451"/>
      <c r="C21" s="452"/>
      <c r="D21" s="452"/>
      <c r="E21" s="452"/>
      <c r="F21" s="452"/>
      <c r="G21" s="452"/>
      <c r="H21" s="453"/>
      <c r="I21" s="61"/>
      <c r="J21" s="64">
        <v>3381912.19</v>
      </c>
      <c r="K21" s="61">
        <f>J21/$J$29</f>
        <v>1.2052615802536221E-2</v>
      </c>
      <c r="L21" s="66">
        <f>$K$30*K21</f>
        <v>209283.44809232076</v>
      </c>
      <c r="M21" s="15" t="s">
        <v>245</v>
      </c>
      <c r="N21" s="37" t="s">
        <v>95</v>
      </c>
    </row>
    <row r="22" spans="2:14">
      <c r="B22" s="450" t="s">
        <v>345</v>
      </c>
      <c r="C22" s="450"/>
      <c r="D22" s="450"/>
      <c r="E22" s="450"/>
      <c r="F22" s="450"/>
      <c r="G22" s="450"/>
      <c r="H22" s="450"/>
      <c r="I22" s="61"/>
      <c r="J22" s="64">
        <v>0</v>
      </c>
      <c r="K22" s="61">
        <f t="shared" ref="K22:K29" si="3">J22/$J$29</f>
        <v>0</v>
      </c>
      <c r="L22" s="66">
        <f t="shared" ref="L22:L28" si="4">$K$30*K22</f>
        <v>0</v>
      </c>
      <c r="M22" s="15" t="s">
        <v>246</v>
      </c>
      <c r="N22" s="37" t="s">
        <v>96</v>
      </c>
    </row>
    <row r="23" spans="2:14" ht="42" customHeight="1">
      <c r="B23" s="450"/>
      <c r="C23" s="450"/>
      <c r="D23" s="450"/>
      <c r="E23" s="450"/>
      <c r="F23" s="450"/>
      <c r="G23" s="450"/>
      <c r="H23" s="450"/>
      <c r="I23" s="61"/>
      <c r="J23" s="64">
        <v>131119881.33</v>
      </c>
      <c r="K23" s="61">
        <f>J23/$J$29-12%</f>
        <v>0.3472911255406167</v>
      </c>
      <c r="L23" s="66">
        <f t="shared" si="4"/>
        <v>6030415.7566948114</v>
      </c>
      <c r="M23" s="15" t="s">
        <v>247</v>
      </c>
      <c r="N23" s="37" t="s">
        <v>97</v>
      </c>
    </row>
    <row r="24" spans="2:14">
      <c r="I24" s="61"/>
      <c r="J24" s="64">
        <v>0</v>
      </c>
      <c r="K24" s="61">
        <f t="shared" si="3"/>
        <v>0</v>
      </c>
      <c r="L24" s="66">
        <f>$K$30*K24</f>
        <v>0</v>
      </c>
      <c r="M24" s="15" t="s">
        <v>248</v>
      </c>
      <c r="N24" s="37" t="s">
        <v>98</v>
      </c>
    </row>
    <row r="25" spans="2:14">
      <c r="G25" s="63">
        <f>G18*5%*107.4%</f>
        <v>1.5062619184512003</v>
      </c>
      <c r="H25" s="63">
        <f>H18*5%*107.4%</f>
        <v>1.5067989184512001</v>
      </c>
      <c r="I25" s="61"/>
      <c r="J25" s="64">
        <v>0</v>
      </c>
      <c r="K25" s="61">
        <f t="shared" si="3"/>
        <v>0</v>
      </c>
      <c r="L25" s="66">
        <f t="shared" si="4"/>
        <v>0</v>
      </c>
      <c r="M25" s="15" t="s">
        <v>249</v>
      </c>
      <c r="N25" s="37" t="s">
        <v>99</v>
      </c>
    </row>
    <row r="26" spans="2:14">
      <c r="I26" s="61"/>
      <c r="J26" s="64">
        <v>2688712.66</v>
      </c>
      <c r="K26" s="61">
        <f t="shared" si="3"/>
        <v>9.5821591081568548E-3</v>
      </c>
      <c r="L26" s="66">
        <f t="shared" si="4"/>
        <v>166386.063505178</v>
      </c>
      <c r="M26" s="15" t="s">
        <v>250</v>
      </c>
      <c r="N26" s="37" t="s">
        <v>100</v>
      </c>
    </row>
    <row r="27" spans="2:14">
      <c r="F27" s="15">
        <v>10000000</v>
      </c>
      <c r="I27" s="61"/>
      <c r="J27" s="64">
        <v>44050493.969999999</v>
      </c>
      <c r="K27" s="61">
        <f t="shared" si="3"/>
        <v>0.15698919720690574</v>
      </c>
      <c r="L27" s="66">
        <f t="shared" si="4"/>
        <v>2725984.2214328996</v>
      </c>
      <c r="M27" s="15" t="s">
        <v>251</v>
      </c>
      <c r="N27" s="37" t="s">
        <v>101</v>
      </c>
    </row>
    <row r="28" spans="2:14">
      <c r="I28" s="61"/>
      <c r="J28" s="64">
        <v>99354701.680000007</v>
      </c>
      <c r="K28" s="61">
        <f>J28/$J$29+12%</f>
        <v>0.47408490234178435</v>
      </c>
      <c r="L28" s="66">
        <f t="shared" si="4"/>
        <v>8232082.1202747868</v>
      </c>
      <c r="M28" s="15" t="s">
        <v>252</v>
      </c>
      <c r="N28" s="37" t="s">
        <v>102</v>
      </c>
    </row>
    <row r="29" spans="2:14" ht="15">
      <c r="I29" s="61"/>
      <c r="J29" s="65">
        <f>SUM(J21:J28)</f>
        <v>280595701.83000004</v>
      </c>
      <c r="K29" s="61">
        <f t="shared" si="3"/>
        <v>1</v>
      </c>
      <c r="L29" s="65">
        <f>SUM(L21:L28)</f>
        <v>17364151.609999996</v>
      </c>
      <c r="N29" s="37" t="s">
        <v>244</v>
      </c>
    </row>
    <row r="30" spans="2:14">
      <c r="I30" s="61"/>
      <c r="K30" s="63">
        <v>17364151.609999999</v>
      </c>
    </row>
  </sheetData>
  <mergeCells count="7">
    <mergeCell ref="B22:H23"/>
    <mergeCell ref="B21:H21"/>
    <mergeCell ref="B4:B6"/>
    <mergeCell ref="C4:C6"/>
    <mergeCell ref="D4:D5"/>
    <mergeCell ref="E4:G4"/>
    <mergeCell ref="H4:H5"/>
  </mergeCells>
  <pageMargins left="0.48" right="0.27" top="0.31496062992125984" bottom="0.98425196850393704" header="0.27559055118110237" footer="0.51181102362204722"/>
  <pageSetup paperSize="9" scale="105" orientation="landscape" r:id="rId1"/>
  <headerFooter alignWithMargins="0"/>
  <ignoredErrors>
    <ignoredError sqref="F1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B1:U13"/>
  <sheetViews>
    <sheetView showGridLines="0" view="pageBreakPreview" zoomScale="90" zoomScaleNormal="90" zoomScaleSheetLayoutView="90" workbookViewId="0">
      <selection activeCell="N10" sqref="N10"/>
    </sheetView>
  </sheetViews>
  <sheetFormatPr defaultColWidth="9.140625" defaultRowHeight="14.25"/>
  <cols>
    <col min="1" max="1" width="1.85546875" style="135" customWidth="1"/>
    <col min="2" max="2" width="6.28515625" style="135" customWidth="1"/>
    <col min="3" max="3" width="34.5703125" style="135" customWidth="1"/>
    <col min="4" max="4" width="9.42578125" style="135" customWidth="1"/>
    <col min="5" max="5" width="9.5703125" style="135" customWidth="1"/>
    <col min="6" max="6" width="11.140625" style="135" customWidth="1"/>
    <col min="7" max="7" width="12.140625" style="135" customWidth="1"/>
    <col min="8" max="8" width="9.42578125" style="135" customWidth="1"/>
    <col min="9" max="9" width="12.140625" style="135" customWidth="1"/>
    <col min="10" max="10" width="12.85546875" style="135" customWidth="1"/>
    <col min="11" max="11" width="12" style="135" customWidth="1"/>
    <col min="12" max="12" width="9.42578125" style="135" customWidth="1"/>
    <col min="13" max="13" width="8.7109375" style="135" customWidth="1"/>
    <col min="14" max="14" width="11.140625" style="135" customWidth="1"/>
    <col min="15" max="15" width="13.140625" style="135" bestFit="1" customWidth="1"/>
    <col min="16" max="16" width="12.5703125" style="135" customWidth="1"/>
    <col min="17" max="20" width="15.85546875" style="135" bestFit="1" customWidth="1"/>
    <col min="21" max="21" width="15.28515625" style="135" bestFit="1" customWidth="1"/>
    <col min="22" max="23" width="11.85546875" style="135" bestFit="1" customWidth="1"/>
    <col min="24" max="24" width="11.7109375" style="135" bestFit="1" customWidth="1"/>
    <col min="25" max="16384" width="9.140625" style="135"/>
  </cols>
  <sheetData>
    <row r="1" spans="2:21" ht="15">
      <c r="B1" s="321"/>
      <c r="C1" s="133"/>
      <c r="D1" s="133"/>
      <c r="E1" s="133"/>
      <c r="F1" s="133"/>
      <c r="G1" s="133"/>
      <c r="H1" s="134" t="s">
        <v>218</v>
      </c>
      <c r="I1" s="133"/>
      <c r="J1" s="133"/>
      <c r="K1" s="133"/>
      <c r="L1" s="133"/>
      <c r="M1" s="133"/>
    </row>
    <row r="2" spans="2:21" ht="15">
      <c r="C2" s="133"/>
      <c r="D2" s="133"/>
      <c r="E2" s="133"/>
      <c r="F2" s="133"/>
      <c r="G2" s="133"/>
      <c r="H2" s="136" t="s">
        <v>165</v>
      </c>
      <c r="I2" s="133"/>
      <c r="J2" s="133"/>
      <c r="K2" s="133"/>
      <c r="L2" s="133"/>
      <c r="M2" s="133"/>
      <c r="N2" s="134"/>
      <c r="O2" s="133"/>
      <c r="P2" s="133"/>
      <c r="Q2" s="133"/>
      <c r="R2" s="133"/>
      <c r="S2" s="133"/>
    </row>
    <row r="3" spans="2:21" ht="15">
      <c r="N3" s="137" t="s">
        <v>3</v>
      </c>
      <c r="U3" s="137"/>
    </row>
    <row r="4" spans="2:21" s="62" customFormat="1" ht="15" customHeight="1">
      <c r="B4" s="437" t="s">
        <v>126</v>
      </c>
      <c r="C4" s="433" t="s">
        <v>14</v>
      </c>
      <c r="D4" s="461" t="s">
        <v>232</v>
      </c>
      <c r="E4" s="461"/>
      <c r="F4" s="461"/>
      <c r="G4" s="437" t="s">
        <v>230</v>
      </c>
      <c r="H4" s="437"/>
      <c r="I4" s="437"/>
      <c r="J4" s="437"/>
      <c r="K4" s="437"/>
      <c r="L4" s="458" t="s">
        <v>231</v>
      </c>
      <c r="M4" s="458"/>
      <c r="N4" s="458"/>
      <c r="O4" s="135"/>
      <c r="P4" s="135"/>
      <c r="Q4" s="135"/>
      <c r="R4" s="135"/>
      <c r="S4" s="135"/>
      <c r="T4" s="135"/>
      <c r="U4" s="135"/>
    </row>
    <row r="5" spans="2:21" s="62" customFormat="1" ht="15" customHeight="1">
      <c r="B5" s="437"/>
      <c r="C5" s="433"/>
      <c r="D5" s="461"/>
      <c r="E5" s="461"/>
      <c r="F5" s="461"/>
      <c r="G5" s="462" t="s">
        <v>343</v>
      </c>
      <c r="H5" s="320" t="s">
        <v>139</v>
      </c>
      <c r="I5" s="320" t="s">
        <v>140</v>
      </c>
      <c r="J5" s="320" t="s">
        <v>143</v>
      </c>
      <c r="K5" s="463" t="s">
        <v>341</v>
      </c>
      <c r="L5" s="458"/>
      <c r="M5" s="458"/>
      <c r="N5" s="458"/>
      <c r="O5" s="135"/>
      <c r="P5" s="135"/>
      <c r="Q5" s="135"/>
      <c r="R5" s="135"/>
      <c r="S5" s="135"/>
      <c r="T5" s="135"/>
      <c r="U5" s="135"/>
    </row>
    <row r="6" spans="2:21" s="62" customFormat="1" ht="30">
      <c r="B6" s="459"/>
      <c r="C6" s="460"/>
      <c r="D6" s="322" t="s">
        <v>342</v>
      </c>
      <c r="E6" s="323" t="s">
        <v>2</v>
      </c>
      <c r="F6" s="324" t="s">
        <v>341</v>
      </c>
      <c r="G6" s="462"/>
      <c r="H6" s="323" t="s">
        <v>2</v>
      </c>
      <c r="I6" s="323" t="s">
        <v>4</v>
      </c>
      <c r="J6" s="323" t="s">
        <v>4</v>
      </c>
      <c r="K6" s="463"/>
      <c r="L6" s="322" t="s">
        <v>343</v>
      </c>
      <c r="M6" s="320" t="s">
        <v>7</v>
      </c>
      <c r="N6" s="325" t="s">
        <v>341</v>
      </c>
      <c r="O6" s="135">
        <v>10000000</v>
      </c>
      <c r="P6" s="135"/>
      <c r="Q6" s="135"/>
      <c r="R6" s="135"/>
      <c r="S6" s="135"/>
      <c r="T6" s="135"/>
      <c r="U6" s="135"/>
    </row>
    <row r="7" spans="2:21" s="133" customFormat="1" ht="15">
      <c r="B7" s="326">
        <v>1</v>
      </c>
      <c r="C7" s="317" t="s">
        <v>146</v>
      </c>
      <c r="D7" s="327">
        <f>('[4]CWIP STATEMENT'!$E$9)/10000000</f>
        <v>0</v>
      </c>
      <c r="E7" s="327">
        <f>('[4]CWIP STATEMENT'!$E$9)/10000000</f>
        <v>0</v>
      </c>
      <c r="F7" s="327">
        <f>('[4]CWIP STATEMENT'!$E$9)/10000000</f>
        <v>0</v>
      </c>
      <c r="G7" s="327">
        <v>13.86</v>
      </c>
      <c r="H7" s="327">
        <f>(E10)/10000000</f>
        <v>0</v>
      </c>
      <c r="I7" s="327">
        <f>(H10)/10000000</f>
        <v>0</v>
      </c>
      <c r="J7" s="327">
        <v>0</v>
      </c>
      <c r="K7" s="327">
        <f>J7-G7</f>
        <v>-13.86</v>
      </c>
      <c r="L7" s="327">
        <v>37.409999999999997</v>
      </c>
      <c r="M7" s="327">
        <f>J10</f>
        <v>45.866125799399995</v>
      </c>
      <c r="N7" s="327">
        <f>M7-L7</f>
        <v>8.4561257993999988</v>
      </c>
      <c r="O7" s="135"/>
      <c r="P7" s="135"/>
      <c r="Q7" s="135"/>
      <c r="R7" s="135"/>
      <c r="S7" s="135"/>
      <c r="T7" s="135"/>
      <c r="U7" s="135"/>
    </row>
    <row r="8" spans="2:21" s="133" customFormat="1" ht="15">
      <c r="B8" s="326">
        <v>2</v>
      </c>
      <c r="C8" s="317" t="s">
        <v>167</v>
      </c>
      <c r="D8" s="327">
        <f>('[4]CWIP STATEMENT'!$E$9)/10000000</f>
        <v>0</v>
      </c>
      <c r="E8" s="327">
        <f>('[4]CWIP STATEMENT'!$E$9)/10000000</f>
        <v>0</v>
      </c>
      <c r="F8" s="327">
        <f>('[4]CWIP STATEMENT'!$E$9)/10000000</f>
        <v>0</v>
      </c>
      <c r="G8" s="327">
        <v>31.08</v>
      </c>
      <c r="H8" s="327">
        <f>'[5]Dep FY 2024-25'!$C$31/10000000</f>
        <v>1.2281955529999999</v>
      </c>
      <c r="I8" s="327">
        <f>'[5]Dep FY 2024-25'!$D$31/10000000</f>
        <v>44.667930246399997</v>
      </c>
      <c r="J8" s="327">
        <f>(H8+I8)</f>
        <v>45.896125799399996</v>
      </c>
      <c r="K8" s="327">
        <f t="shared" ref="K8:K10" si="0">J8-G8</f>
        <v>14.816125799399998</v>
      </c>
      <c r="L8" s="327">
        <v>31.08</v>
      </c>
      <c r="M8" s="327">
        <f>'[4]CWIP STATEMENT'!$C$28/10000000</f>
        <v>44.212535070400001</v>
      </c>
      <c r="N8" s="327">
        <f t="shared" ref="N8:N10" si="1">M8-L8</f>
        <v>13.132535070400003</v>
      </c>
      <c r="O8" s="135"/>
      <c r="P8" s="135"/>
      <c r="Q8" s="135"/>
      <c r="R8" s="135"/>
      <c r="S8" s="135"/>
      <c r="T8" s="135"/>
      <c r="U8" s="135"/>
    </row>
    <row r="9" spans="2:21" s="133" customFormat="1" ht="15">
      <c r="B9" s="326">
        <v>3</v>
      </c>
      <c r="C9" s="328" t="s">
        <v>136</v>
      </c>
      <c r="D9" s="327">
        <f>('[4]CWIP STATEMENT'!$E$9)/10000000</f>
        <v>0</v>
      </c>
      <c r="E9" s="327">
        <f>('[4]CWIP STATEMENT'!$E$9)/10000000</f>
        <v>0</v>
      </c>
      <c r="F9" s="327">
        <f>('[4]CWIP STATEMENT'!$E$9)/10000000</f>
        <v>0</v>
      </c>
      <c r="G9" s="327">
        <v>7.52</v>
      </c>
      <c r="H9" s="327">
        <v>0</v>
      </c>
      <c r="I9" s="327">
        <f>'F4'!G24</f>
        <v>0.03</v>
      </c>
      <c r="J9" s="327">
        <f>(I9)</f>
        <v>0.03</v>
      </c>
      <c r="K9" s="327">
        <f t="shared" si="0"/>
        <v>-7.4899999999999993</v>
      </c>
      <c r="L9" s="327">
        <v>62.43</v>
      </c>
      <c r="M9" s="327">
        <f>'F4'!G37</f>
        <v>13.789263715000002</v>
      </c>
      <c r="N9" s="327">
        <f t="shared" si="1"/>
        <v>-48.640736284999996</v>
      </c>
      <c r="O9" s="135"/>
      <c r="P9" s="135"/>
      <c r="Q9" s="135"/>
      <c r="R9" s="135"/>
      <c r="S9" s="135"/>
      <c r="T9" s="135"/>
      <c r="U9" s="135"/>
    </row>
    <row r="10" spans="2:21" s="133" customFormat="1" ht="15">
      <c r="B10" s="326">
        <v>4</v>
      </c>
      <c r="C10" s="317" t="s">
        <v>147</v>
      </c>
      <c r="D10" s="327">
        <f>('[4]CWIP STATEMENT'!$E$9)/10000000</f>
        <v>0</v>
      </c>
      <c r="E10" s="327">
        <f>('[4]CWIP STATEMENT'!$E$9)/10000000</f>
        <v>0</v>
      </c>
      <c r="F10" s="327">
        <f>('[4]CWIP STATEMENT'!$E$9)/10000000</f>
        <v>0</v>
      </c>
      <c r="G10" s="327">
        <v>37.409999999999997</v>
      </c>
      <c r="H10" s="327">
        <v>0</v>
      </c>
      <c r="I10" s="327">
        <f>I8-I9</f>
        <v>44.637930246399996</v>
      </c>
      <c r="J10" s="327">
        <f>J8-J9</f>
        <v>45.866125799399995</v>
      </c>
      <c r="K10" s="327">
        <f t="shared" si="0"/>
        <v>8.4561257993999988</v>
      </c>
      <c r="L10" s="327">
        <v>6.07</v>
      </c>
      <c r="M10" s="327">
        <f>M7+M8-M9+0.01</f>
        <v>76.299397154799991</v>
      </c>
      <c r="N10" s="327">
        <f t="shared" si="1"/>
        <v>70.229397154799983</v>
      </c>
      <c r="O10" s="135"/>
      <c r="P10" s="135"/>
      <c r="Q10" s="135"/>
      <c r="R10" s="135"/>
      <c r="S10" s="135"/>
      <c r="T10" s="135"/>
      <c r="U10" s="135"/>
    </row>
    <row r="11" spans="2:21" s="154" customFormat="1" ht="15">
      <c r="B11" s="329"/>
      <c r="C11" s="330"/>
      <c r="D11" s="330"/>
      <c r="E11" s="331"/>
      <c r="F11" s="331"/>
      <c r="G11" s="331"/>
      <c r="H11" s="331"/>
      <c r="I11" s="331"/>
      <c r="J11" s="332"/>
      <c r="K11" s="332"/>
      <c r="L11" s="332"/>
      <c r="M11" s="332"/>
      <c r="N11" s="333"/>
      <c r="O11" s="333"/>
      <c r="P11" s="333"/>
      <c r="Q11" s="333"/>
      <c r="R11" s="333"/>
      <c r="S11" s="333"/>
    </row>
    <row r="13" spans="2:21">
      <c r="B13" s="334"/>
      <c r="I13" s="335"/>
    </row>
  </sheetData>
  <mergeCells count="7">
    <mergeCell ref="L4:N5"/>
    <mergeCell ref="B4:B6"/>
    <mergeCell ref="C4:C6"/>
    <mergeCell ref="D4:F5"/>
    <mergeCell ref="G4:K4"/>
    <mergeCell ref="G5:G6"/>
    <mergeCell ref="K5:K6"/>
  </mergeCells>
  <pageMargins left="0.19685039370078741" right="0.15748031496062992" top="0.43307086614173229" bottom="0.98425196850393704" header="0.23622047244094491" footer="0.23622047244094491"/>
  <pageSetup paperSize="9" scale="91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R38"/>
  <sheetViews>
    <sheetView showGridLines="0" topLeftCell="B16" zoomScale="84" zoomScaleNormal="84" zoomScaleSheetLayoutView="90" workbookViewId="0">
      <selection activeCell="Q13" sqref="Q13"/>
    </sheetView>
  </sheetViews>
  <sheetFormatPr defaultColWidth="9.140625" defaultRowHeight="14.25"/>
  <cols>
    <col min="1" max="1" width="2.5703125" style="133" hidden="1" customWidth="1"/>
    <col min="2" max="2" width="9.140625" style="133"/>
    <col min="3" max="3" width="23.7109375" style="133" customWidth="1"/>
    <col min="4" max="4" width="14.28515625" style="133" customWidth="1"/>
    <col min="5" max="7" width="13.28515625" style="133" customWidth="1"/>
    <col min="8" max="8" width="14.85546875" style="133" customWidth="1"/>
    <col min="9" max="9" width="10.85546875" style="133" customWidth="1"/>
    <col min="10" max="10" width="15.140625" style="133" customWidth="1"/>
    <col min="11" max="12" width="10.85546875" style="133" customWidth="1"/>
    <col min="13" max="13" width="13.7109375" style="133" customWidth="1"/>
    <col min="14" max="14" width="15.28515625" style="133" customWidth="1"/>
    <col min="15" max="15" width="10.85546875" style="133" customWidth="1"/>
    <col min="16" max="16" width="13.85546875" style="133" bestFit="1" customWidth="1"/>
    <col min="17" max="17" width="13.5703125" style="133" bestFit="1" customWidth="1"/>
    <col min="18" max="18" width="15.28515625" style="133" bestFit="1" customWidth="1"/>
    <col min="19" max="21" width="11.85546875" style="133" bestFit="1" customWidth="1"/>
    <col min="22" max="22" width="11.7109375" style="133" bestFit="1" customWidth="1"/>
    <col min="23" max="16384" width="9.140625" style="133"/>
  </cols>
  <sheetData>
    <row r="1" spans="2:18" ht="15">
      <c r="H1" s="136" t="s">
        <v>166</v>
      </c>
      <c r="I1" s="136"/>
    </row>
    <row r="2" spans="2:18" ht="15.75" thickBot="1">
      <c r="K2" s="136"/>
      <c r="O2" s="154" t="s">
        <v>3</v>
      </c>
    </row>
    <row r="3" spans="2:18" ht="15">
      <c r="B3" s="465" t="s">
        <v>229</v>
      </c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7"/>
    </row>
    <row r="4" spans="2:18" ht="14.25" customHeight="1">
      <c r="B4" s="473" t="s">
        <v>1</v>
      </c>
      <c r="C4" s="475" t="s">
        <v>159</v>
      </c>
      <c r="D4" s="477" t="s">
        <v>148</v>
      </c>
      <c r="E4" s="477" t="s">
        <v>149</v>
      </c>
      <c r="F4" s="477" t="s">
        <v>150</v>
      </c>
      <c r="G4" s="477"/>
      <c r="H4" s="477"/>
      <c r="I4" s="477"/>
      <c r="J4" s="477" t="s">
        <v>151</v>
      </c>
      <c r="K4" s="477"/>
      <c r="L4" s="477"/>
      <c r="M4" s="477"/>
      <c r="N4" s="477" t="s">
        <v>152</v>
      </c>
      <c r="O4" s="479"/>
    </row>
    <row r="5" spans="2:18" ht="60.75" thickBot="1">
      <c r="B5" s="474"/>
      <c r="C5" s="476"/>
      <c r="D5" s="478"/>
      <c r="E5" s="478"/>
      <c r="F5" s="255" t="s">
        <v>153</v>
      </c>
      <c r="G5" s="255" t="s">
        <v>106</v>
      </c>
      <c r="H5" s="255" t="s">
        <v>154</v>
      </c>
      <c r="I5" s="255" t="s">
        <v>155</v>
      </c>
      <c r="J5" s="255" t="s">
        <v>156</v>
      </c>
      <c r="K5" s="255" t="s">
        <v>106</v>
      </c>
      <c r="L5" s="255" t="s">
        <v>157</v>
      </c>
      <c r="M5" s="255" t="s">
        <v>158</v>
      </c>
      <c r="N5" s="255" t="s">
        <v>153</v>
      </c>
      <c r="O5" s="155" t="s">
        <v>155</v>
      </c>
    </row>
    <row r="6" spans="2:18">
      <c r="B6" s="273">
        <v>1</v>
      </c>
      <c r="C6" s="274" t="s">
        <v>235</v>
      </c>
      <c r="D6" s="275">
        <v>100200</v>
      </c>
      <c r="E6" s="156">
        <v>3.3399999999999999E-2</v>
      </c>
      <c r="F6" s="276">
        <v>0</v>
      </c>
      <c r="G6" s="277">
        <f>3381912.12/10000000</f>
        <v>0.33819121200000002</v>
      </c>
      <c r="H6" s="277">
        <v>0</v>
      </c>
      <c r="I6" s="277">
        <f>F6+G6-H6</f>
        <v>0.33819121200000002</v>
      </c>
      <c r="J6" s="277">
        <v>0</v>
      </c>
      <c r="K6" s="277">
        <f>56786.19/10000000</f>
        <v>5.6786190000000002E-3</v>
      </c>
      <c r="L6" s="277">
        <v>0</v>
      </c>
      <c r="M6" s="277">
        <f>J6+K6-L6</f>
        <v>5.6786190000000002E-3</v>
      </c>
      <c r="N6" s="277">
        <f>F6-J6</f>
        <v>0</v>
      </c>
      <c r="O6" s="278">
        <f>I6-M6</f>
        <v>0.33251259300000002</v>
      </c>
    </row>
    <row r="7" spans="2:18">
      <c r="B7" s="159">
        <v>2</v>
      </c>
      <c r="C7" s="160" t="s">
        <v>237</v>
      </c>
      <c r="D7" s="161">
        <v>100500</v>
      </c>
      <c r="E7" s="257">
        <v>5.28E-2</v>
      </c>
      <c r="F7" s="167">
        <v>13.184103715000001</v>
      </c>
      <c r="G7" s="162">
        <f>1711/10000000</f>
        <v>1.7110000000000001E-4</v>
      </c>
      <c r="H7" s="188">
        <v>7.0000000000000007E-2</v>
      </c>
      <c r="I7" s="188">
        <f>F7+G7-H7</f>
        <v>13.114274815</v>
      </c>
      <c r="J7" s="188">
        <v>8.27</v>
      </c>
      <c r="K7" s="163">
        <f>(6804067.36-98430.18)/10000000</f>
        <v>0.67056371800000003</v>
      </c>
      <c r="L7" s="188">
        <v>0</v>
      </c>
      <c r="M7" s="188">
        <f t="shared" ref="M7:M10" si="0">J7+K7-L7</f>
        <v>8.9405637179999999</v>
      </c>
      <c r="N7" s="188">
        <f t="shared" ref="N7:N10" si="1">F7-J7</f>
        <v>4.9141037150000013</v>
      </c>
      <c r="O7" s="189">
        <f t="shared" ref="O7:O10" si="2">I7-M7</f>
        <v>4.173711097</v>
      </c>
    </row>
    <row r="8" spans="2:18">
      <c r="B8" s="164">
        <v>3</v>
      </c>
      <c r="C8" s="165" t="s">
        <v>238</v>
      </c>
      <c r="D8" s="166">
        <v>100800</v>
      </c>
      <c r="E8" s="58">
        <v>6.3299999999999995E-2</v>
      </c>
      <c r="F8" s="167">
        <v>0.17447421599999999</v>
      </c>
      <c r="G8" s="162">
        <f>(292522+161424+490024.5)/10000000</f>
        <v>9.4397049999999996E-2</v>
      </c>
      <c r="H8" s="188">
        <v>0</v>
      </c>
      <c r="I8" s="188">
        <f t="shared" ref="I8:I10" si="3">F8+G8-H8</f>
        <v>0.268871266</v>
      </c>
      <c r="J8" s="188">
        <v>0.06</v>
      </c>
      <c r="K8" s="163">
        <f>150549.5/10000000</f>
        <v>1.5054949999999999E-2</v>
      </c>
      <c r="L8" s="188">
        <v>0</v>
      </c>
      <c r="M8" s="188">
        <f t="shared" si="0"/>
        <v>7.5054949999999995E-2</v>
      </c>
      <c r="N8" s="188">
        <f t="shared" si="1"/>
        <v>0.11447421599999999</v>
      </c>
      <c r="O8" s="189">
        <f t="shared" si="2"/>
        <v>0.19381631599999999</v>
      </c>
    </row>
    <row r="9" spans="2:18">
      <c r="B9" s="164">
        <v>4</v>
      </c>
      <c r="C9" s="168" t="s">
        <v>239</v>
      </c>
      <c r="D9" s="166">
        <v>100860</v>
      </c>
      <c r="E9" s="58">
        <v>0.15</v>
      </c>
      <c r="F9" s="258">
        <f>32098723.76/10000000</f>
        <v>3.2098723760000003</v>
      </c>
      <c r="G9" s="162">
        <f>(1644448+40069645.97)/10000000</f>
        <v>4.1714093969999997</v>
      </c>
      <c r="H9" s="188">
        <v>0</v>
      </c>
      <c r="I9" s="188">
        <f t="shared" si="3"/>
        <v>7.3812817729999995</v>
      </c>
      <c r="J9" s="188">
        <f>22219241.76/10000000</f>
        <v>2.2219241760000004</v>
      </c>
      <c r="K9" s="258">
        <f>(4371186+1157705.97)/10000000</f>
        <v>0.55288919699999994</v>
      </c>
      <c r="L9" s="188">
        <v>0</v>
      </c>
      <c r="M9" s="188">
        <f t="shared" si="0"/>
        <v>2.7748133730000002</v>
      </c>
      <c r="N9" s="188">
        <f t="shared" si="1"/>
        <v>0.98794819999999994</v>
      </c>
      <c r="O9" s="189">
        <f t="shared" si="2"/>
        <v>4.6064683999999989</v>
      </c>
    </row>
    <row r="10" spans="2:18">
      <c r="B10" s="164">
        <v>5</v>
      </c>
      <c r="C10" s="168" t="s">
        <v>240</v>
      </c>
      <c r="D10" s="166">
        <v>100900</v>
      </c>
      <c r="E10" s="58">
        <v>6.3299999999999995E-2</v>
      </c>
      <c r="F10" s="167">
        <f>26893228.99/10000000</f>
        <v>2.689322899</v>
      </c>
      <c r="G10" s="162">
        <f>(271140.4+41705141.71+500000)/10000000</f>
        <v>4.2476282110000003</v>
      </c>
      <c r="H10" s="188">
        <v>0</v>
      </c>
      <c r="I10" s="188">
        <f t="shared" si="3"/>
        <v>6.9369511100000008</v>
      </c>
      <c r="J10" s="188">
        <f>16717993.99/10000000</f>
        <v>1.671799399</v>
      </c>
      <c r="K10" s="163">
        <f>(2333266.4+1084379.71)/10000000</f>
        <v>0.341764611</v>
      </c>
      <c r="L10" s="188">
        <v>0</v>
      </c>
      <c r="M10" s="188">
        <f t="shared" si="0"/>
        <v>2.0135640100000001</v>
      </c>
      <c r="N10" s="188">
        <f t="shared" si="1"/>
        <v>1.0175235</v>
      </c>
      <c r="O10" s="189">
        <f t="shared" si="2"/>
        <v>4.9233871000000011</v>
      </c>
    </row>
    <row r="11" spans="2:18" ht="15.75" thickBot="1">
      <c r="B11" s="169"/>
      <c r="C11" s="170" t="s">
        <v>107</v>
      </c>
      <c r="D11" s="170"/>
      <c r="E11" s="171"/>
      <c r="F11" s="172">
        <f>SUM(F6:F10)</f>
        <v>19.257773206000003</v>
      </c>
      <c r="G11" s="172">
        <f>SUM(G6:G10)</f>
        <v>8.8517969699999988</v>
      </c>
      <c r="H11" s="172">
        <f>SUM(H6:H10)</f>
        <v>7.0000000000000007E-2</v>
      </c>
      <c r="I11" s="173">
        <f>F11+G11-H11+0.01</f>
        <v>28.049570176000003</v>
      </c>
      <c r="J11" s="172">
        <f t="shared" ref="J11:N11" si="4">SUM(J6:J10)</f>
        <v>12.223723574999999</v>
      </c>
      <c r="K11" s="172">
        <f>SUM(K6:K10)</f>
        <v>1.585951095</v>
      </c>
      <c r="L11" s="172">
        <f t="shared" si="4"/>
        <v>0</v>
      </c>
      <c r="M11" s="172">
        <f>SUM(M6:M10)</f>
        <v>13.80967467</v>
      </c>
      <c r="N11" s="172">
        <f t="shared" si="4"/>
        <v>7.0340496310000011</v>
      </c>
      <c r="O11" s="185">
        <f>SUM(O6:O10)-0.01</f>
        <v>14.219895506</v>
      </c>
    </row>
    <row r="12" spans="2:18" ht="9.75" customHeight="1" thickBot="1"/>
    <row r="13" spans="2:18" ht="15.75" thickBot="1">
      <c r="B13" s="470" t="s">
        <v>230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472"/>
    </row>
    <row r="14" spans="2:18" ht="14.25" customHeight="1">
      <c r="B14" s="480" t="s">
        <v>1</v>
      </c>
      <c r="C14" s="481" t="s">
        <v>159</v>
      </c>
      <c r="D14" s="468" t="s">
        <v>148</v>
      </c>
      <c r="E14" s="468" t="s">
        <v>149</v>
      </c>
      <c r="F14" s="468" t="s">
        <v>150</v>
      </c>
      <c r="G14" s="468"/>
      <c r="H14" s="468"/>
      <c r="I14" s="468"/>
      <c r="J14" s="468" t="s">
        <v>151</v>
      </c>
      <c r="K14" s="468"/>
      <c r="L14" s="468"/>
      <c r="M14" s="468"/>
      <c r="N14" s="468" t="s">
        <v>152</v>
      </c>
      <c r="O14" s="469"/>
      <c r="Q14" s="290"/>
      <c r="R14" s="290"/>
    </row>
    <row r="15" spans="2:18" ht="60.75" thickBot="1">
      <c r="B15" s="474"/>
      <c r="C15" s="476"/>
      <c r="D15" s="478"/>
      <c r="E15" s="478"/>
      <c r="F15" s="255" t="s">
        <v>153</v>
      </c>
      <c r="G15" s="255" t="s">
        <v>106</v>
      </c>
      <c r="H15" s="255" t="s">
        <v>154</v>
      </c>
      <c r="I15" s="255" t="s">
        <v>155</v>
      </c>
      <c r="J15" s="255" t="s">
        <v>156</v>
      </c>
      <c r="K15" s="255" t="s">
        <v>106</v>
      </c>
      <c r="L15" s="255" t="s">
        <v>157</v>
      </c>
      <c r="M15" s="255" t="s">
        <v>158</v>
      </c>
      <c r="N15" s="255" t="s">
        <v>153</v>
      </c>
      <c r="O15" s="155" t="s">
        <v>155</v>
      </c>
      <c r="R15" s="290"/>
    </row>
    <row r="16" spans="2:18">
      <c r="B16" s="265">
        <v>1</v>
      </c>
      <c r="C16" s="266" t="s">
        <v>235</v>
      </c>
      <c r="D16" s="181">
        <v>100200</v>
      </c>
      <c r="E16" s="156">
        <v>0.03</v>
      </c>
      <c r="F16" s="267">
        <f>I6</f>
        <v>0.33819121200000002</v>
      </c>
      <c r="G16" s="268">
        <v>0</v>
      </c>
      <c r="H16" s="269">
        <v>0</v>
      </c>
      <c r="I16" s="269">
        <f t="shared" ref="I16:I23" si="5">F16+G16-H16</f>
        <v>0.33819121200000002</v>
      </c>
      <c r="J16" s="270">
        <f>M6</f>
        <v>5.6786190000000002E-3</v>
      </c>
      <c r="K16" s="271">
        <f>F16*E16+G16*E16</f>
        <v>1.0145736360000001E-2</v>
      </c>
      <c r="L16" s="270">
        <v>0</v>
      </c>
      <c r="M16" s="269">
        <f>J16+K16-L16</f>
        <v>1.582435536E-2</v>
      </c>
      <c r="N16" s="269">
        <f>F16-J16</f>
        <v>0.33251259300000002</v>
      </c>
      <c r="O16" s="272">
        <f>I16-M16</f>
        <v>0.32236685664000003</v>
      </c>
      <c r="P16" s="290"/>
      <c r="Q16" s="290"/>
      <c r="R16" s="290"/>
    </row>
    <row r="17" spans="2:18">
      <c r="B17" s="159">
        <v>2</v>
      </c>
      <c r="C17" s="180" t="s">
        <v>236</v>
      </c>
      <c r="D17" s="181">
        <v>100300</v>
      </c>
      <c r="E17" s="58">
        <v>0.03</v>
      </c>
      <c r="F17" s="182">
        <v>0</v>
      </c>
      <c r="G17" s="204">
        <v>0</v>
      </c>
      <c r="H17" s="157">
        <v>0</v>
      </c>
      <c r="I17" s="157">
        <f t="shared" si="5"/>
        <v>0</v>
      </c>
      <c r="J17" s="162">
        <v>0</v>
      </c>
      <c r="K17" s="271">
        <f t="shared" ref="K17:K22" si="6">F17*E17+G17*E17</f>
        <v>0</v>
      </c>
      <c r="L17" s="162">
        <v>0</v>
      </c>
      <c r="M17" s="157">
        <f t="shared" ref="M17:M23" si="7">J17+K17-L17</f>
        <v>0</v>
      </c>
      <c r="N17" s="157">
        <f t="shared" ref="N17:N23" si="8">F17-J17</f>
        <v>0</v>
      </c>
      <c r="O17" s="158">
        <f t="shared" ref="O17:O23" si="9">I17-M17</f>
        <v>0</v>
      </c>
      <c r="R17" s="290"/>
    </row>
    <row r="18" spans="2:18">
      <c r="B18" s="159">
        <v>3</v>
      </c>
      <c r="C18" s="160" t="s">
        <v>237</v>
      </c>
      <c r="D18" s="161">
        <v>100500</v>
      </c>
      <c r="E18" s="58">
        <v>3.5999999999999997E-2</v>
      </c>
      <c r="F18" s="182">
        <f>I7</f>
        <v>13.114274815</v>
      </c>
      <c r="G18" s="204">
        <v>0</v>
      </c>
      <c r="H18" s="157">
        <v>0</v>
      </c>
      <c r="I18" s="157">
        <f t="shared" si="5"/>
        <v>13.114274815</v>
      </c>
      <c r="J18" s="162">
        <f>M7</f>
        <v>8.9405637179999999</v>
      </c>
      <c r="K18" s="271">
        <v>0.56999999999999995</v>
      </c>
      <c r="L18" s="162">
        <v>0</v>
      </c>
      <c r="M18" s="157">
        <f t="shared" si="7"/>
        <v>9.5105637180000002</v>
      </c>
      <c r="N18" s="157">
        <f t="shared" si="8"/>
        <v>4.173711097</v>
      </c>
      <c r="O18" s="158">
        <f t="shared" si="9"/>
        <v>3.6037110969999997</v>
      </c>
      <c r="Q18" s="290"/>
      <c r="R18" s="290"/>
    </row>
    <row r="19" spans="2:18">
      <c r="B19" s="159">
        <v>4</v>
      </c>
      <c r="C19" s="160" t="s">
        <v>241</v>
      </c>
      <c r="D19" s="161">
        <v>100500</v>
      </c>
      <c r="E19" s="58">
        <v>0.16669999999999999</v>
      </c>
      <c r="F19" s="182">
        <v>0</v>
      </c>
      <c r="G19" s="204">
        <v>0</v>
      </c>
      <c r="H19" s="157">
        <v>0</v>
      </c>
      <c r="I19" s="157">
        <f t="shared" si="5"/>
        <v>0</v>
      </c>
      <c r="J19" s="162">
        <v>0</v>
      </c>
      <c r="K19" s="271">
        <f t="shared" si="6"/>
        <v>0</v>
      </c>
      <c r="L19" s="162">
        <v>0</v>
      </c>
      <c r="M19" s="157">
        <f t="shared" si="7"/>
        <v>0</v>
      </c>
      <c r="N19" s="157">
        <f t="shared" si="8"/>
        <v>0</v>
      </c>
      <c r="O19" s="158">
        <f t="shared" si="9"/>
        <v>0</v>
      </c>
      <c r="R19" s="290"/>
    </row>
    <row r="20" spans="2:18" ht="25.5">
      <c r="B20" s="159">
        <v>5</v>
      </c>
      <c r="C20" s="183" t="s">
        <v>242</v>
      </c>
      <c r="D20" s="161">
        <v>100500</v>
      </c>
      <c r="E20" s="58">
        <v>0.12859999999999999</v>
      </c>
      <c r="F20" s="182">
        <v>0</v>
      </c>
      <c r="G20" s="204">
        <v>0</v>
      </c>
      <c r="H20" s="157">
        <v>0</v>
      </c>
      <c r="I20" s="157">
        <f t="shared" si="5"/>
        <v>0</v>
      </c>
      <c r="J20" s="162">
        <v>0</v>
      </c>
      <c r="K20" s="271">
        <f t="shared" si="6"/>
        <v>0</v>
      </c>
      <c r="L20" s="162">
        <v>0</v>
      </c>
      <c r="M20" s="157">
        <f t="shared" si="7"/>
        <v>0</v>
      </c>
      <c r="N20" s="157">
        <f t="shared" si="8"/>
        <v>0</v>
      </c>
      <c r="O20" s="158">
        <f t="shared" si="9"/>
        <v>0</v>
      </c>
      <c r="Q20" s="290"/>
      <c r="R20" s="290"/>
    </row>
    <row r="21" spans="2:18">
      <c r="B21" s="159">
        <v>6</v>
      </c>
      <c r="C21" s="165" t="s">
        <v>238</v>
      </c>
      <c r="D21" s="166">
        <v>100800</v>
      </c>
      <c r="E21" s="58">
        <v>0.09</v>
      </c>
      <c r="F21" s="182">
        <f>I8</f>
        <v>0.268871266</v>
      </c>
      <c r="G21" s="204">
        <v>0</v>
      </c>
      <c r="H21" s="157">
        <v>0</v>
      </c>
      <c r="I21" s="157">
        <f t="shared" si="5"/>
        <v>0.268871266</v>
      </c>
      <c r="J21" s="162">
        <f>M8</f>
        <v>7.5054949999999995E-2</v>
      </c>
      <c r="K21" s="271">
        <f t="shared" si="6"/>
        <v>2.419841394E-2</v>
      </c>
      <c r="L21" s="162">
        <v>0</v>
      </c>
      <c r="M21" s="157">
        <f t="shared" si="7"/>
        <v>9.9253363939999992E-2</v>
      </c>
      <c r="N21" s="157">
        <f t="shared" si="8"/>
        <v>0.19381631599999999</v>
      </c>
      <c r="O21" s="158">
        <f t="shared" si="9"/>
        <v>0.16961790205999999</v>
      </c>
      <c r="R21" s="290"/>
    </row>
    <row r="22" spans="2:18">
      <c r="B22" s="159">
        <v>7</v>
      </c>
      <c r="C22" s="168" t="s">
        <v>239</v>
      </c>
      <c r="D22" s="166">
        <v>100860</v>
      </c>
      <c r="E22" s="58">
        <v>0.2</v>
      </c>
      <c r="F22" s="182">
        <f>I9</f>
        <v>7.3812817729999995</v>
      </c>
      <c r="G22" s="204">
        <v>0</v>
      </c>
      <c r="H22" s="157">
        <v>0</v>
      </c>
      <c r="I22" s="157">
        <f t="shared" si="5"/>
        <v>7.3812817729999995</v>
      </c>
      <c r="J22" s="162">
        <f>M9</f>
        <v>2.7748133730000002</v>
      </c>
      <c r="K22" s="271">
        <f t="shared" si="6"/>
        <v>1.4762563546</v>
      </c>
      <c r="L22" s="162">
        <v>0</v>
      </c>
      <c r="M22" s="157">
        <f t="shared" si="7"/>
        <v>4.2510697276</v>
      </c>
      <c r="N22" s="157">
        <f>F22-J22</f>
        <v>4.6064683999999989</v>
      </c>
      <c r="O22" s="158">
        <f t="shared" si="9"/>
        <v>3.1302120453999995</v>
      </c>
      <c r="P22" s="290"/>
      <c r="Q22" s="290"/>
      <c r="R22" s="290"/>
    </row>
    <row r="23" spans="2:18">
      <c r="B23" s="159">
        <v>8</v>
      </c>
      <c r="C23" s="168" t="s">
        <v>240</v>
      </c>
      <c r="D23" s="166">
        <v>100900</v>
      </c>
      <c r="E23" s="58">
        <v>0.09</v>
      </c>
      <c r="F23" s="182">
        <f>I10</f>
        <v>6.9369511100000008</v>
      </c>
      <c r="G23" s="162">
        <v>0.03</v>
      </c>
      <c r="H23" s="188">
        <v>0</v>
      </c>
      <c r="I23" s="157">
        <f t="shared" si="5"/>
        <v>6.966951110000001</v>
      </c>
      <c r="J23" s="162">
        <f>M10</f>
        <v>2.0135640100000001</v>
      </c>
      <c r="K23" s="271">
        <f>F23*E23+(G23*E23)/2</f>
        <v>0.62567559989999999</v>
      </c>
      <c r="L23" s="162">
        <v>0</v>
      </c>
      <c r="M23" s="157">
        <f t="shared" si="7"/>
        <v>2.6392396099000002</v>
      </c>
      <c r="N23" s="157">
        <f t="shared" si="8"/>
        <v>4.9233871000000011</v>
      </c>
      <c r="O23" s="158">
        <f t="shared" si="9"/>
        <v>4.3277115001000013</v>
      </c>
      <c r="R23" s="290"/>
    </row>
    <row r="24" spans="2:18" ht="15.75" thickBot="1">
      <c r="B24" s="169"/>
      <c r="C24" s="170" t="s">
        <v>107</v>
      </c>
      <c r="D24" s="170"/>
      <c r="E24" s="171"/>
      <c r="F24" s="184">
        <f>SUM(F16:F23)+0.01</f>
        <v>28.049570176</v>
      </c>
      <c r="G24" s="184">
        <f>SUM(G16:G23)</f>
        <v>0.03</v>
      </c>
      <c r="H24" s="173">
        <v>0</v>
      </c>
      <c r="I24" s="184">
        <f>SUM(I16:I23)-0.01</f>
        <v>28.059570175999998</v>
      </c>
      <c r="J24" s="184">
        <f t="shared" ref="J24:O24" si="10">SUM(J16:J23)</f>
        <v>13.80967467</v>
      </c>
      <c r="K24" s="184">
        <f>SUM(K16:K23)</f>
        <v>2.7062761048000001</v>
      </c>
      <c r="L24" s="184">
        <f t="shared" si="10"/>
        <v>0</v>
      </c>
      <c r="M24" s="184">
        <f t="shared" si="10"/>
        <v>16.5159507748</v>
      </c>
      <c r="N24" s="184">
        <f t="shared" si="10"/>
        <v>14.229895506</v>
      </c>
      <c r="O24" s="185">
        <f t="shared" si="10"/>
        <v>11.553619401200001</v>
      </c>
    </row>
    <row r="25" spans="2:18" ht="7.5" customHeight="1" thickBot="1"/>
    <row r="26" spans="2:18" ht="15">
      <c r="B26" s="465" t="s">
        <v>231</v>
      </c>
      <c r="C26" s="466"/>
      <c r="D26" s="466"/>
      <c r="E26" s="466"/>
      <c r="F26" s="466"/>
      <c r="G26" s="466"/>
      <c r="H26" s="466"/>
      <c r="I26" s="466"/>
      <c r="J26" s="466"/>
      <c r="K26" s="466"/>
      <c r="L26" s="466"/>
      <c r="M26" s="466"/>
      <c r="N26" s="466"/>
      <c r="O26" s="467"/>
    </row>
    <row r="27" spans="2:18" ht="15" customHeight="1">
      <c r="B27" s="473" t="s">
        <v>1</v>
      </c>
      <c r="C27" s="475" t="s">
        <v>159</v>
      </c>
      <c r="D27" s="477" t="s">
        <v>148</v>
      </c>
      <c r="E27" s="477" t="s">
        <v>149</v>
      </c>
      <c r="F27" s="477" t="s">
        <v>150</v>
      </c>
      <c r="G27" s="477"/>
      <c r="H27" s="477"/>
      <c r="I27" s="477"/>
      <c r="J27" s="477" t="s">
        <v>151</v>
      </c>
      <c r="K27" s="477"/>
      <c r="L27" s="477"/>
      <c r="M27" s="477"/>
      <c r="N27" s="477" t="s">
        <v>152</v>
      </c>
      <c r="O27" s="479"/>
    </row>
    <row r="28" spans="2:18" ht="60.75" thickBot="1">
      <c r="B28" s="482"/>
      <c r="C28" s="483"/>
      <c r="D28" s="484"/>
      <c r="E28" s="484"/>
      <c r="F28" s="256" t="s">
        <v>153</v>
      </c>
      <c r="G28" s="256" t="s">
        <v>106</v>
      </c>
      <c r="H28" s="256" t="s">
        <v>154</v>
      </c>
      <c r="I28" s="256" t="s">
        <v>155</v>
      </c>
      <c r="J28" s="256" t="s">
        <v>156</v>
      </c>
      <c r="K28" s="256" t="s">
        <v>106</v>
      </c>
      <c r="L28" s="256" t="s">
        <v>157</v>
      </c>
      <c r="M28" s="256" t="s">
        <v>158</v>
      </c>
      <c r="N28" s="256" t="s">
        <v>153</v>
      </c>
      <c r="O28" s="174" t="s">
        <v>155</v>
      </c>
    </row>
    <row r="29" spans="2:18">
      <c r="B29" s="175">
        <v>1</v>
      </c>
      <c r="C29" s="176" t="s">
        <v>235</v>
      </c>
      <c r="D29" s="177">
        <v>100200</v>
      </c>
      <c r="E29" s="178">
        <v>0.03</v>
      </c>
      <c r="F29" s="179">
        <f>I16</f>
        <v>0.33819121200000002</v>
      </c>
      <c r="G29" s="179">
        <f>'[4]CWIP STATEMENT'!$D$22/10000000</f>
        <v>8.4248591580000003</v>
      </c>
      <c r="H29" s="179">
        <v>0</v>
      </c>
      <c r="I29" s="186">
        <f t="shared" ref="I29:I36" si="11">F29+G29-H29</f>
        <v>8.7630503700000002</v>
      </c>
      <c r="J29" s="179">
        <f>M16</f>
        <v>1.582435536E-2</v>
      </c>
      <c r="K29" s="360">
        <f>F29*E29+G29*E29</f>
        <v>0.26289151109999997</v>
      </c>
      <c r="L29" s="179">
        <v>0</v>
      </c>
      <c r="M29" s="186">
        <f>J29+K29-L29</f>
        <v>0.27871586645999996</v>
      </c>
      <c r="N29" s="186">
        <f>F29-J29</f>
        <v>0.32236685664000003</v>
      </c>
      <c r="O29" s="187">
        <f>I29-M29</f>
        <v>8.4843345035399995</v>
      </c>
    </row>
    <row r="30" spans="2:18">
      <c r="B30" s="159">
        <v>2</v>
      </c>
      <c r="C30" s="180" t="s">
        <v>236</v>
      </c>
      <c r="D30" s="181">
        <v>100300</v>
      </c>
      <c r="E30" s="58">
        <v>0.03</v>
      </c>
      <c r="F30" s="162">
        <f t="shared" ref="F30:F36" si="12">I17</f>
        <v>0</v>
      </c>
      <c r="G30" s="162">
        <f>'[4]CWIP STATEMENT'!$D$23/10000000</f>
        <v>1.5875774419999999</v>
      </c>
      <c r="H30" s="162">
        <v>0</v>
      </c>
      <c r="I30" s="188">
        <f t="shared" si="11"/>
        <v>1.5875774419999999</v>
      </c>
      <c r="J30" s="162">
        <f t="shared" ref="J30:J36" si="13">M17</f>
        <v>0</v>
      </c>
      <c r="K30" s="163">
        <f t="shared" ref="K30:K36" si="14">F30*E30+G30*E30</f>
        <v>4.762732326E-2</v>
      </c>
      <c r="L30" s="162">
        <v>0</v>
      </c>
      <c r="M30" s="188">
        <f t="shared" ref="M30:M36" si="15">J30+K30-L30</f>
        <v>4.762732326E-2</v>
      </c>
      <c r="N30" s="188">
        <f t="shared" ref="N30:N36" si="16">F30-J30</f>
        <v>0</v>
      </c>
      <c r="O30" s="189" t="s">
        <v>347</v>
      </c>
    </row>
    <row r="31" spans="2:18">
      <c r="B31" s="159">
        <v>3</v>
      </c>
      <c r="C31" s="160" t="s">
        <v>237</v>
      </c>
      <c r="D31" s="161">
        <v>100500</v>
      </c>
      <c r="E31" s="58">
        <v>3.5999999999999997E-2</v>
      </c>
      <c r="F31" s="162">
        <f t="shared" si="12"/>
        <v>13.114274815</v>
      </c>
      <c r="G31" s="162">
        <v>0</v>
      </c>
      <c r="H31" s="162">
        <v>0</v>
      </c>
      <c r="I31" s="188">
        <f t="shared" si="11"/>
        <v>13.114274815</v>
      </c>
      <c r="J31" s="162">
        <f t="shared" si="13"/>
        <v>9.5105637180000002</v>
      </c>
      <c r="K31" s="163">
        <v>0.56999999999999995</v>
      </c>
      <c r="L31" s="162">
        <v>0</v>
      </c>
      <c r="M31" s="188">
        <f t="shared" si="15"/>
        <v>10.080563718000001</v>
      </c>
      <c r="N31" s="188">
        <f t="shared" si="16"/>
        <v>3.6037110969999997</v>
      </c>
      <c r="O31" s="189">
        <f t="shared" ref="O31:O36" si="17">I31-M31</f>
        <v>3.0337110969999994</v>
      </c>
    </row>
    <row r="32" spans="2:18">
      <c r="B32" s="159">
        <v>4</v>
      </c>
      <c r="C32" s="160" t="s">
        <v>241</v>
      </c>
      <c r="D32" s="161">
        <v>100500</v>
      </c>
      <c r="E32" s="58">
        <v>0.16669999999999999</v>
      </c>
      <c r="F32" s="162">
        <f t="shared" si="12"/>
        <v>0</v>
      </c>
      <c r="G32" s="162">
        <f>'[4]CWIP STATEMENT'!$D$24/10000000</f>
        <v>0.79461468600000007</v>
      </c>
      <c r="H32" s="162">
        <v>0</v>
      </c>
      <c r="I32" s="188">
        <f t="shared" si="11"/>
        <v>0.79461468600000007</v>
      </c>
      <c r="J32" s="162">
        <f t="shared" si="13"/>
        <v>0</v>
      </c>
      <c r="K32" s="163">
        <f t="shared" si="14"/>
        <v>0.13246226815619999</v>
      </c>
      <c r="L32" s="162">
        <v>0</v>
      </c>
      <c r="M32" s="188">
        <f t="shared" si="15"/>
        <v>0.13246226815619999</v>
      </c>
      <c r="N32" s="188">
        <f t="shared" si="16"/>
        <v>0</v>
      </c>
      <c r="O32" s="189">
        <f t="shared" si="17"/>
        <v>0.66215241784380008</v>
      </c>
    </row>
    <row r="33" spans="2:15" ht="25.5">
      <c r="B33" s="159">
        <v>5</v>
      </c>
      <c r="C33" s="183" t="s">
        <v>242</v>
      </c>
      <c r="D33" s="161">
        <v>100500</v>
      </c>
      <c r="E33" s="58">
        <v>0.12859999999999999</v>
      </c>
      <c r="F33" s="162">
        <f t="shared" si="12"/>
        <v>0</v>
      </c>
      <c r="G33" s="162">
        <f>'[4]CWIP STATEMENT'!$D$26/10000000</f>
        <v>2.9072124290000003</v>
      </c>
      <c r="H33" s="162">
        <v>0</v>
      </c>
      <c r="I33" s="188">
        <f t="shared" si="11"/>
        <v>2.9072124290000003</v>
      </c>
      <c r="J33" s="162">
        <f t="shared" si="13"/>
        <v>0</v>
      </c>
      <c r="K33" s="163">
        <f t="shared" si="14"/>
        <v>0.37386751836940002</v>
      </c>
      <c r="L33" s="162">
        <v>0</v>
      </c>
      <c r="M33" s="188">
        <f t="shared" si="15"/>
        <v>0.37386751836940002</v>
      </c>
      <c r="N33" s="188">
        <f t="shared" si="16"/>
        <v>0</v>
      </c>
      <c r="O33" s="189">
        <f t="shared" si="17"/>
        <v>2.5333449106306003</v>
      </c>
    </row>
    <row r="34" spans="2:15">
      <c r="B34" s="159">
        <v>6</v>
      </c>
      <c r="C34" s="165" t="s">
        <v>238</v>
      </c>
      <c r="D34" s="166">
        <v>100800</v>
      </c>
      <c r="E34" s="58">
        <v>0.09</v>
      </c>
      <c r="F34" s="162">
        <f t="shared" si="12"/>
        <v>0.268871266</v>
      </c>
      <c r="G34" s="162">
        <f>'[4]CWIP STATEMENT'!$D$25/10000000</f>
        <v>0.05</v>
      </c>
      <c r="H34" s="162">
        <v>0</v>
      </c>
      <c r="I34" s="188">
        <f t="shared" si="11"/>
        <v>0.31887126599999999</v>
      </c>
      <c r="J34" s="162">
        <f t="shared" si="13"/>
        <v>9.9253363939999992E-2</v>
      </c>
      <c r="K34" s="163">
        <f t="shared" si="14"/>
        <v>2.869841394E-2</v>
      </c>
      <c r="L34" s="162">
        <v>0</v>
      </c>
      <c r="M34" s="188">
        <f t="shared" si="15"/>
        <v>0.12795177788000001</v>
      </c>
      <c r="N34" s="188">
        <f t="shared" si="16"/>
        <v>0.16961790205999999</v>
      </c>
      <c r="O34" s="189">
        <f t="shared" si="17"/>
        <v>0.19091948811999998</v>
      </c>
    </row>
    <row r="35" spans="2:15">
      <c r="B35" s="159">
        <v>7</v>
      </c>
      <c r="C35" s="168" t="s">
        <v>239</v>
      </c>
      <c r="D35" s="166">
        <v>100860</v>
      </c>
      <c r="E35" s="58">
        <v>0.2</v>
      </c>
      <c r="F35" s="162">
        <f t="shared" si="12"/>
        <v>7.3812817729999995</v>
      </c>
      <c r="G35" s="162">
        <f>'[4]CWIP STATEMENT'!$D$27/10000000</f>
        <v>2.5000000000000001E-2</v>
      </c>
      <c r="H35" s="162">
        <v>0</v>
      </c>
      <c r="I35" s="188">
        <f t="shared" si="11"/>
        <v>7.4062817729999999</v>
      </c>
      <c r="J35" s="162">
        <f t="shared" si="13"/>
        <v>4.2510697276</v>
      </c>
      <c r="K35" s="163">
        <f t="shared" si="14"/>
        <v>1.4812563545999999</v>
      </c>
      <c r="L35" s="162">
        <v>0</v>
      </c>
      <c r="M35" s="188">
        <f t="shared" si="15"/>
        <v>5.7323260822000002</v>
      </c>
      <c r="N35" s="188">
        <f t="shared" si="16"/>
        <v>3.1302120453999995</v>
      </c>
      <c r="O35" s="189">
        <f t="shared" si="17"/>
        <v>1.6739556907999997</v>
      </c>
    </row>
    <row r="36" spans="2:15">
      <c r="B36" s="159">
        <v>8</v>
      </c>
      <c r="C36" s="168" t="s">
        <v>240</v>
      </c>
      <c r="D36" s="166">
        <v>100900</v>
      </c>
      <c r="E36" s="58">
        <v>0.09</v>
      </c>
      <c r="F36" s="162">
        <f t="shared" si="12"/>
        <v>6.966951110000001</v>
      </c>
      <c r="G36" s="162">
        <v>0</v>
      </c>
      <c r="H36" s="163">
        <v>0</v>
      </c>
      <c r="I36" s="188">
        <f t="shared" si="11"/>
        <v>6.966951110000001</v>
      </c>
      <c r="J36" s="162">
        <f t="shared" si="13"/>
        <v>2.6392396099000002</v>
      </c>
      <c r="K36" s="163">
        <f t="shared" si="14"/>
        <v>0.62702559990000006</v>
      </c>
      <c r="L36" s="162">
        <v>0</v>
      </c>
      <c r="M36" s="188">
        <f t="shared" si="15"/>
        <v>3.2662652098000002</v>
      </c>
      <c r="N36" s="188">
        <f t="shared" si="16"/>
        <v>4.3277115001000013</v>
      </c>
      <c r="O36" s="189">
        <f t="shared" si="17"/>
        <v>3.7006859002000008</v>
      </c>
    </row>
    <row r="37" spans="2:15" ht="15.75" thickBot="1">
      <c r="B37" s="169"/>
      <c r="C37" s="170" t="s">
        <v>107</v>
      </c>
      <c r="D37" s="170"/>
      <c r="E37" s="171"/>
      <c r="F37" s="172">
        <f>SUM(F29:F36)-0.01</f>
        <v>28.059570175999998</v>
      </c>
      <c r="G37" s="172">
        <f>SUM(G29:G36)</f>
        <v>13.789263715000002</v>
      </c>
      <c r="H37" s="172">
        <f t="shared" ref="H37:O37" si="18">SUM(H29:H36)</f>
        <v>0</v>
      </c>
      <c r="I37" s="172">
        <f t="shared" si="18"/>
        <v>41.858833891000003</v>
      </c>
      <c r="J37" s="172">
        <f t="shared" si="18"/>
        <v>16.5159507748</v>
      </c>
      <c r="K37" s="172">
        <f>SUM(K29:K36)</f>
        <v>3.5238289893255996</v>
      </c>
      <c r="L37" s="172">
        <f t="shared" si="18"/>
        <v>0</v>
      </c>
      <c r="M37" s="172">
        <f t="shared" si="18"/>
        <v>20.039779764125601</v>
      </c>
      <c r="N37" s="172">
        <f t="shared" si="18"/>
        <v>11.553619401200001</v>
      </c>
      <c r="O37" s="185">
        <f t="shared" si="18"/>
        <v>20.279104008134397</v>
      </c>
    </row>
    <row r="38" spans="2:15" s="291" customFormat="1" ht="44.25" customHeight="1">
      <c r="B38" s="464" t="s">
        <v>348</v>
      </c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464"/>
    </row>
  </sheetData>
  <mergeCells count="25">
    <mergeCell ref="F14:I14"/>
    <mergeCell ref="B26:O26"/>
    <mergeCell ref="B27:B28"/>
    <mergeCell ref="C27:C28"/>
    <mergeCell ref="D27:D28"/>
    <mergeCell ref="E27:E28"/>
    <mergeCell ref="F27:I27"/>
    <mergeCell ref="J27:M27"/>
    <mergeCell ref="N27:O27"/>
    <mergeCell ref="B38:O38"/>
    <mergeCell ref="B3:O3"/>
    <mergeCell ref="J14:M14"/>
    <mergeCell ref="N14:O14"/>
    <mergeCell ref="B13:O13"/>
    <mergeCell ref="B4:B5"/>
    <mergeCell ref="C4:C5"/>
    <mergeCell ref="D4:D5"/>
    <mergeCell ref="E4:E5"/>
    <mergeCell ref="F4:I4"/>
    <mergeCell ref="J4:M4"/>
    <mergeCell ref="N4:O4"/>
    <mergeCell ref="B14:B15"/>
    <mergeCell ref="C14:C15"/>
    <mergeCell ref="D14:D15"/>
    <mergeCell ref="E14:E15"/>
  </mergeCells>
  <pageMargins left="0.6692913385826772" right="0.23622047244094491" top="0.31496062992125984" bottom="0.15748031496062992" header="0.15748031496062992" footer="0.23622047244094491"/>
  <pageSetup paperSize="305" scale="80" orientation="landscape" r:id="rId1"/>
  <headerFooter alignWithMargins="0">
    <oddHeader>&amp;F</oddHeader>
  </headerFooter>
  <ignoredErrors>
    <ignoredError sqref="J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Title</vt:lpstr>
      <vt:lpstr>Checklist</vt:lpstr>
      <vt:lpstr>F1</vt:lpstr>
      <vt:lpstr>F2</vt:lpstr>
      <vt:lpstr>F2.1</vt:lpstr>
      <vt:lpstr>F2.2</vt:lpstr>
      <vt:lpstr>F2.3</vt:lpstr>
      <vt:lpstr>F3</vt:lpstr>
      <vt:lpstr>F4</vt:lpstr>
      <vt:lpstr>F5</vt:lpstr>
      <vt:lpstr>F6</vt:lpstr>
      <vt:lpstr>F7</vt:lpstr>
      <vt:lpstr>F8</vt:lpstr>
      <vt:lpstr>F10</vt:lpstr>
      <vt:lpstr>F11</vt:lpstr>
      <vt:lpstr>Checklist!Print_Area</vt:lpstr>
      <vt:lpstr>'F1'!Print_Area</vt:lpstr>
      <vt:lpstr>'F10'!Print_Area</vt:lpstr>
      <vt:lpstr>'F2'!Print_Area</vt:lpstr>
      <vt:lpstr>F2.1!Print_Area</vt:lpstr>
      <vt:lpstr>F2.2!Print_Area</vt:lpstr>
      <vt:lpstr>F2.3!Print_Area</vt:lpstr>
      <vt:lpstr>'F3'!Print_Area</vt:lpstr>
      <vt:lpstr>'F4'!Print_Area</vt:lpstr>
      <vt:lpstr>'F5'!Print_Area</vt:lpstr>
      <vt:lpstr>'F6'!Print_Area</vt:lpstr>
      <vt:lpstr>'F7'!Print_Area</vt:lpstr>
      <vt:lpstr>'F8'!Print_Area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nareshjaosldc</cp:lastModifiedBy>
  <cp:lastPrinted>2025-02-10T07:38:50Z</cp:lastPrinted>
  <dcterms:created xsi:type="dcterms:W3CDTF">2004-07-28T05:30:50Z</dcterms:created>
  <dcterms:modified xsi:type="dcterms:W3CDTF">2025-02-11T08:00:05Z</dcterms:modified>
</cp:coreProperties>
</file>