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9795" yWindow="-30" windowWidth="8745" windowHeight="7140" tabRatio="544" activeTab="1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Checklist!$A$1:$E$28</definedName>
    <definedName name="_xlnm.Print_Area" localSheetId="1">'F1'!$A$1:$J$24</definedName>
    <definedName name="_xlnm.Print_Area" localSheetId="4">F2.2!$B$2:$D$40</definedName>
    <definedName name="_xlnm.Print_Area" localSheetId="6">'F3'!$B$2:$F$13</definedName>
    <definedName name="_xlnm.Print_Area" localSheetId="13">'F8'!$B$3:$F$34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9.9999999999999995E-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 l="1"/>
  <c r="J13" i="102"/>
  <c r="F13" i="102"/>
  <c r="D12" i="71" l="1"/>
  <c r="E12" i="71"/>
  <c r="F12" i="71"/>
  <c r="G12" i="71"/>
  <c r="H12" i="71"/>
  <c r="I12" i="71"/>
  <c r="J12" i="71"/>
  <c r="C12" i="71"/>
  <c r="O10" i="71"/>
  <c r="N12" i="71"/>
  <c r="L12" i="71" l="1"/>
  <c r="M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I13" i="102"/>
  <c r="M13" i="102"/>
  <c r="O13" i="102" l="1"/>
  <c r="H12" i="101" l="1"/>
  <c r="E12" i="93" s="1"/>
  <c r="G12" i="101"/>
  <c r="D26" i="67" l="1"/>
  <c r="D34" i="67" s="1"/>
  <c r="D12" i="105" l="1"/>
  <c r="D15" i="109" l="1"/>
  <c r="D54" i="103"/>
  <c r="D14" i="105"/>
  <c r="D12" i="103"/>
  <c r="D20" i="103" l="1"/>
  <c r="D13" i="104" l="1"/>
  <c r="D36" i="67"/>
  <c r="D38" i="68"/>
  <c r="D40" i="68" s="1"/>
  <c r="D18" i="69"/>
  <c r="F13" i="66" s="1"/>
  <c r="G13" i="66" s="1"/>
  <c r="D13" i="93"/>
  <c r="F12" i="101"/>
  <c r="D56" i="103"/>
  <c r="D55" i="103"/>
  <c r="D46" i="103"/>
  <c r="D36" i="103"/>
  <c r="D41" i="103" s="1"/>
  <c r="D18" i="105"/>
  <c r="F18" i="105"/>
  <c r="E18" i="105"/>
  <c r="F12" i="66" l="1"/>
  <c r="G12" i="66" s="1"/>
  <c r="F11" i="66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F13" i="58"/>
  <c r="F14" i="66" l="1"/>
  <c r="E13" i="104" s="1"/>
  <c r="G11" i="66"/>
  <c r="E20" i="105"/>
  <c r="F10" i="103"/>
  <c r="F12" i="103" s="1"/>
  <c r="E12" i="103"/>
  <c r="F12" i="93"/>
  <c r="F13" i="93" s="1"/>
  <c r="E14" i="103"/>
  <c r="D51" i="103"/>
  <c r="F19" i="103"/>
  <c r="E13" i="93"/>
  <c r="E14" i="105"/>
  <c r="F11" i="105"/>
  <c r="F14" i="105" s="1"/>
  <c r="F21" i="105" s="1"/>
  <c r="F22" i="105" s="1"/>
  <c r="H15" i="58" s="1"/>
  <c r="D21" i="69"/>
  <c r="F15" i="58"/>
  <c r="G14" i="66" l="1"/>
  <c r="H11" i="58" s="1"/>
  <c r="F14" i="104" s="1"/>
  <c r="G11" i="58"/>
  <c r="E14" i="104" s="1"/>
  <c r="E21" i="105"/>
  <c r="E22" i="105" s="1"/>
  <c r="G15" i="58" s="1"/>
  <c r="F14" i="103"/>
  <c r="D62" i="103"/>
  <c r="E22" i="102"/>
  <c r="H12" i="58"/>
  <c r="F13" i="104" l="1"/>
  <c r="F15" i="103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F22" i="103" l="1"/>
  <c r="H13" i="58" s="1"/>
  <c r="E22" i="103"/>
  <c r="G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10" i="91" l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27" i="91" s="1"/>
  <c r="B31" i="91" s="1"/>
  <c r="B32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<sst xmlns="http://schemas.openxmlformats.org/spreadsheetml/2006/main" count="595" uniqueCount="347">
  <si>
    <t>Equity</t>
  </si>
  <si>
    <t>Reference</t>
  </si>
  <si>
    <t>S.No.</t>
  </si>
  <si>
    <t>Actual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</si>
  <si>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</si>
  <si>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</si>
  <si>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</si>
  <si>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</si>
  <si>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</si>
  <si>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</si>
  <si>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</si>
  <si>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</si>
  <si>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</si>
  <si>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</si>
  <si>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</si>
  <si>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</si>
  <si>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</si>
  <si>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</si>
  <si>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</si>
  <si>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</si>
  <si>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</si>
  <si>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</si>
  <si>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</si>
  <si>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</si>
  <si>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</si>
  <si>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</si>
  <si>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</si>
  <si>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</si>
  <si>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</si>
  <si>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</si>
  <si>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</si>
  <si>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</si>
  <si>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</si>
  <si>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</si>
  <si>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</si>
  <si>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</si>
  <si>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</si>
  <si>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</si>
  <si>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</si>
  <si>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</si>
  <si>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</si>
  <si>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</si>
  <si>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</si>
  <si>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</si>
  <si>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</si>
  <si>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</si>
  <si>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</si>
  <si>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</si>
  <si>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</si>
  <si>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</si>
  <si>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</si>
  <si>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</si>
  <si>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</si>
  <si>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</si>
  <si>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</si>
  <si>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</si>
  <si>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</si>
  <si>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</si>
  <si>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</si>
  <si>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</si>
  <si>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</si>
  <si>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</si>
  <si>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</si>
  <si>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</si>
  <si>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</si>
  <si>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</si>
  <si>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</si>
  <si>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</si>
  <si>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</si>
  <si>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</si>
  <si>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</si>
  <si>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</si>
  <si>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</si>
  <si>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</si>
  <si>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</si>
  <si>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</si>
  <si>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</si>
  <si>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</si>
  <si>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</si>
  <si>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</si>
  <si>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</si>
  <si>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</si>
  <si>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</si>
  <si>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</si>
  <si>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</si>
  <si>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</si>
  <si>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</si>
  <si>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</si>
  <si>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</si>
  <si>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</si>
  <si>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</si>
  <si>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</si>
  <si>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</si>
  <si>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</si>
  <si>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</si>
  <si>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</si>
  <si>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</si>
  <si>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</si>
  <si>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</si>
  <si>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</si>
  <si>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</si>
  <si>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</si>
  <si>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</si>
  <si>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</si>
  <si>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</si>
  <si>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</si>
  <si>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</si>
  <si>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</si>
  <si>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</si>
  <si>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</si>
  <si>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</si>
  <si>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</si>
  <si>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</si>
  <si>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</si>
  <si>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</si>
  <si>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</si>
  <si>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</si>
  <si>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</si>
  <si>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</si>
  <si>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</si>
  <si>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</si>
  <si>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</si>
  <si>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</si>
  <si>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</si>
  <si>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</si>
  <si>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</si>
  <si>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</si>
  <si>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</si>
  <si>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</si>
  <si>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</si>
  <si>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</si>
  <si>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</si>
  <si>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</si>
  <si>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</si>
  <si>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</si>
  <si>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</si>
  <si>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</si>
  <si>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</si>
  <si>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</si>
  <si>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</si>
  <si>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</si>
  <si>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</si>
  <si>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</si>
  <si>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</si>
  <si>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</si>
  <si>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</si>
  <si>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</si>
  <si>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</si>
  <si>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</si>
  <si>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</si>
  <si>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</si>
  <si>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</si>
  <si>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</si>
  <si>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</si>
  <si>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</si>
  <si>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</si>
  <si>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</si>
  <si>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</si>
  <si>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</si>
  <si>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</si>
  <si>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</si>
  <si>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</si>
  <si>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</si>
  <si>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</si>
  <si>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</si>
  <si>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</si>
  <si>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</si>
  <si>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</si>
  <si>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</si>
  <si>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</si>
  <si>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</si>
  <si>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</si>
  <si>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</si>
  <si>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</si>
  <si>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</si>
  <si>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</si>
  <si>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</si>
  <si>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</si>
  <si>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</si>
  <si>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</si>
  <si>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</si>
  <si>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</si>
  <si>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</si>
  <si>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</si>
  <si>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</si>
  <si>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</si>
  <si>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</si>
  <si>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</si>
  <si>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</si>
  <si>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</si>
  <si>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</si>
  <si>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</si>
  <si>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</si>
  <si>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</si>
  <si>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</si>
  <si>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</si>
  <si>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</si>
  <si>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</si>
  <si>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</si>
  <si>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</si>
  <si>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</si>
  <si>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</si>
  <si>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</si>
  <si>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</si>
  <si>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</si>
  <si>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</si>
  <si>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</si>
  <si>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</si>
  <si>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</si>
  <si>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</si>
  <si>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</si>
  <si>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</si>
  <si>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</si>
  <si>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</si>
  <si>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</si>
  <si>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</si>
  <si>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</si>
  <si>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</si>
  <si>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</si>
  <si>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</si>
  <si>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</si>
  <si>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</si>
  <si>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</si>
  <si>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</si>
  <si>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</si>
  <si>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</si>
  <si>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</si>
  <si>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</si>
  <si>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</si>
  <si>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</si>
  <si>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</si>
  <si>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</si>
  <si>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</si>
  <si>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</si>
  <si>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</si>
  <si>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</si>
  <si>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</si>
  <si>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</si>
  <si>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</si>
  <si>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</si>
  <si>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</si>
  <si>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</si>
  <si>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</si>
  <si>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</si>
  <si>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</si>
  <si>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</si>
  <si>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</si>
  <si>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</si>
  <si>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</si>
  <si>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</si>
  <si>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</si>
  <si>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</si>
  <si>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</si>
  <si>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</si>
  <si>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</si>
  <si>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</si>
  <si>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</si>
  <si>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</si>
  <si>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</si>
  <si>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</si>
  <si>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</si>
  <si>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</si>
  <si>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</si>
  <si>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</si>
  <si>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</si>
  <si>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</si>
  <si>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</si>
  <si>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</si>
  <si>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</si>
  <si>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</si>
  <si>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</si>
  <si>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</si>
  <si>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</si>
  <si>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</si>
  <si>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</si>
  <si>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</si>
  <si>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</si>
  <si>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</si>
  <si>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</si>
  <si>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</si>
  <si>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</si>
  <si>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</si>
  <si>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</si>
  <si>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</si>
  <si>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</si>
  <si>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</si>
  <si>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</si>
  <si>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</si>
  <si>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</si>
  <si>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</si>
  <si>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</si>
  <si>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</si>
  <si>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</si>
  <si>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</si>
  <si>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</si>
  <si>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</si>
  <si>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</si>
  <si>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</si>
  <si>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</si>
  <si>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</si>
  <si>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</si>
  <si>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</si>
  <si>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</si>
  <si>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</si>
  <si>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</si>
  <si>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</si>
  <si>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</si>
  <si>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</si>
  <si>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</si>
  <si>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</si>
  <si>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</si>
  <si>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</si>
  <si>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</si>
  <si>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</si>
  <si>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</si>
  <si>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</si>
  <si>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</si>
  <si>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</si>
  <si>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</si>
  <si>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</si>
  <si>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</si>
  <si>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</si>
  <si>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</si>
  <si>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</si>
  <si>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</si>
  <si>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</si>
  <si>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</si>
  <si>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</si>
  <si>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</si>
  <si>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</si>
  <si>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</si>
  <si>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</si>
  <si>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</si>
  <si>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</si>
  <si>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</si>
  <si>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</si>
  <si>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</si>
  <si>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</si>
  <si>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 xml:space="preserve">      &lt;LJHES&gt;</t>
  </si>
  <si>
    <t>LJHES</t>
  </si>
  <si>
    <t>Year end adjustment of fixed charges as per availability</t>
  </si>
  <si>
    <t>Difference bill issued after MTR order</t>
  </si>
  <si>
    <t>Loan 1-PFC</t>
  </si>
  <si>
    <t>Separate Annexure is Enclosed</t>
  </si>
  <si>
    <t>Rs.in Cr.</t>
  </si>
  <si>
    <t>1). In case actual availability is less or more than normative value, the modification in the formula need to be done accordingly.</t>
  </si>
  <si>
    <t>Rs. in 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</si>
</sst>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3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39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29" fillId="0" borderId="4" xfId="10" applyNumberFormat="1" applyFont="1" applyBorder="1" applyAlignment="1">
      <alignment horizontal="center" vertical="center"/>
    </xf>
    <xf numFmtId="170" fontId="16" fillId="0" borderId="4" xfId="0" applyNumberFormat="1" applyFont="1" applyBorder="1" applyAlignment="1">
      <alignment horizontal="center" vertical="center"/>
    </xf>
    <xf numFmtId="0" fontId="29" fillId="0" borderId="8" xfId="10" applyFont="1" applyBorder="1" applyAlignment="1">
      <alignment horizontal="center" vertical="center" wrapText="1"/>
    </xf>
    <xf numFmtId="0" fontId="29" fillId="0" borderId="4" xfId="10" applyFont="1" applyBorder="1" applyAlignment="1">
      <alignment vertical="center" wrapText="1"/>
    </xf>
    <xf numFmtId="0" fontId="29" fillId="0" borderId="4" xfId="10" applyFont="1" applyBorder="1" applyAlignment="1">
      <alignment horizontal="center" vertical="center" wrapText="1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29" fillId="0" borderId="20" xfId="10" applyFont="1" applyBorder="1" applyAlignment="1">
      <alignment vertical="center" wrapText="1"/>
    </xf>
    <xf numFmtId="0" fontId="21" fillId="0" borderId="20" xfId="10" applyFont="1" applyBorder="1" applyAlignment="1">
      <alignment vertical="center"/>
    </xf>
    <xf numFmtId="2" fontId="21" fillId="0" borderId="4" xfId="14" applyNumberFormat="1" applyFont="1" applyBorder="1" applyAlignment="1">
      <alignment horizontal="right" vertical="center" wrapText="1"/>
    </xf>
    <xf numFmtId="164" fontId="16" fillId="7" borderId="21" xfId="0" applyNumberFormat="1" applyFont="1" applyFill="1" applyBorder="1" applyAlignment="1">
      <alignment vertical="center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164" fontId="16" fillId="0" borderId="0" xfId="10" applyNumberFormat="1" applyFont="1" applyAlignment="1">
      <alignment vertical="center"/>
    </xf>
    <xf numFmtId="2" fontId="21" fillId="0" borderId="21" xfId="10" applyNumberFormat="1" applyFont="1" applyBorder="1" applyAlignment="1">
      <alignment vertical="center"/>
    </xf>
    <xf numFmtId="0" fontId="21" fillId="0" borderId="21" xfId="10" applyFont="1" applyBorder="1" applyAlignment="1">
      <alignment vertical="center"/>
    </xf>
    <xf numFmtId="0" fontId="30" fillId="0" borderId="0" xfId="14" applyFont="1" applyAlignment="1">
      <alignment horizontal="center" vertical="center"/>
    </xf>
    <xf numFmtId="0" fontId="16" fillId="4" borderId="21" xfId="14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0" fontId="21" fillId="6" borderId="6" xfId="10" applyFont="1" applyFill="1" applyBorder="1" applyAlignment="1">
      <alignment horizontal="center" vertical="center"/>
    </xf>
    <xf numFmtId="0" fontId="21" fillId="6" borderId="3" xfId="10" applyFont="1" applyFill="1" applyBorder="1" applyAlignment="1">
      <alignment horizontal="center" vertical="center"/>
    </xf>
    <xf numFmtId="0" fontId="21" fillId="6" borderId="9" xfId="10" applyFont="1" applyFill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G33" sqref="G33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6" t="s">
        <v>298</v>
      </c>
      <c r="C2" s="186"/>
      <c r="D2" s="187"/>
      <c r="E2" s="187"/>
      <c r="F2" s="1"/>
      <c r="G2" s="1"/>
      <c r="H2" s="1"/>
    </row>
    <row r="3" spans="2:8" ht="15.75" x14ac:dyDescent="0.2">
      <c r="B3" s="186" t="s">
        <v>338</v>
      </c>
      <c r="C3" s="186"/>
      <c r="D3" s="187"/>
      <c r="E3" s="187"/>
      <c r="F3" s="1"/>
      <c r="G3" s="1"/>
      <c r="H3" s="1"/>
    </row>
    <row r="4" spans="2:8" s="12" customFormat="1" ht="15.75" x14ac:dyDescent="0.2">
      <c r="B4" s="188" t="s">
        <v>274</v>
      </c>
      <c r="C4" s="188"/>
      <c r="D4" s="189"/>
      <c r="E4" s="189"/>
      <c r="F4" s="1"/>
      <c r="G4" s="1"/>
      <c r="H4" s="1"/>
    </row>
    <row r="5" spans="2:8" ht="15.75" x14ac:dyDescent="0.2">
      <c r="D5" s="67" t="s">
        <v>276</v>
      </c>
    </row>
    <row r="6" spans="2:8" ht="15.75" x14ac:dyDescent="0.2">
      <c r="G6" s="7"/>
    </row>
    <row r="7" spans="2:8" ht="15.75" x14ac:dyDescent="0.2">
      <c r="B7" s="13" t="s">
        <v>164</v>
      </c>
      <c r="C7" s="13" t="s">
        <v>275</v>
      </c>
      <c r="D7" s="14" t="s">
        <v>5</v>
      </c>
      <c r="E7" s="14" t="s">
        <v>277</v>
      </c>
    </row>
    <row r="8" spans="2:8" x14ac:dyDescent="0.2">
      <c r="B8" s="8">
        <v>1</v>
      </c>
      <c r="C8" s="8" t="s">
        <v>4</v>
      </c>
      <c r="D8" s="9" t="s">
        <v>279</v>
      </c>
      <c r="E8" s="10"/>
    </row>
    <row r="9" spans="2:8" x14ac:dyDescent="0.2">
      <c r="B9" s="8">
        <f>B8+1</f>
        <v>2</v>
      </c>
      <c r="C9" s="8" t="s">
        <v>233</v>
      </c>
      <c r="D9" s="9" t="s">
        <v>281</v>
      </c>
      <c r="E9" s="10"/>
    </row>
    <row r="10" spans="2:8" x14ac:dyDescent="0.2">
      <c r="B10" s="8">
        <f>B9+1</f>
        <v>3</v>
      </c>
      <c r="C10" s="8" t="s">
        <v>21</v>
      </c>
      <c r="D10" s="9" t="s">
        <v>282</v>
      </c>
      <c r="E10" s="10"/>
    </row>
    <row r="11" spans="2:8" x14ac:dyDescent="0.2">
      <c r="B11" s="8">
        <f>B10+1</f>
        <v>4</v>
      </c>
      <c r="C11" s="8" t="s">
        <v>22</v>
      </c>
      <c r="D11" s="9" t="s">
        <v>283</v>
      </c>
      <c r="E11" s="10"/>
    </row>
    <row r="12" spans="2:8" x14ac:dyDescent="0.2">
      <c r="B12" s="8">
        <f>B11+1</f>
        <v>5</v>
      </c>
      <c r="C12" s="8" t="s">
        <v>234</v>
      </c>
      <c r="D12" s="9" t="s">
        <v>284</v>
      </c>
      <c r="E12" s="10"/>
    </row>
    <row r="13" spans="2:8" x14ac:dyDescent="0.2">
      <c r="B13" s="8">
        <f t="shared" ref="B13:B28" si="0">B12+1</f>
        <v>6</v>
      </c>
      <c r="C13" s="8" t="s">
        <v>19</v>
      </c>
      <c r="D13" s="9" t="s">
        <v>188</v>
      </c>
      <c r="E13" s="10"/>
    </row>
    <row r="14" spans="2:8" x14ac:dyDescent="0.2">
      <c r="B14" s="8">
        <f t="shared" si="0"/>
        <v>7</v>
      </c>
      <c r="C14" s="8" t="s">
        <v>24</v>
      </c>
      <c r="D14" s="9" t="s">
        <v>285</v>
      </c>
      <c r="E14" s="10"/>
    </row>
    <row r="15" spans="2:8" x14ac:dyDescent="0.2">
      <c r="B15" s="8">
        <f t="shared" si="0"/>
        <v>8</v>
      </c>
      <c r="C15" s="8" t="s">
        <v>25</v>
      </c>
      <c r="D15" s="11" t="s">
        <v>161</v>
      </c>
      <c r="E15" s="10"/>
    </row>
    <row r="16" spans="2:8" x14ac:dyDescent="0.2">
      <c r="B16" s="8">
        <f t="shared" si="0"/>
        <v>9</v>
      </c>
      <c r="C16" s="8" t="s">
        <v>20</v>
      </c>
      <c r="D16" s="11" t="s">
        <v>286</v>
      </c>
      <c r="E16" s="10"/>
    </row>
    <row r="17" spans="2:5" x14ac:dyDescent="0.2">
      <c r="B17" s="8">
        <f t="shared" si="0"/>
        <v>10</v>
      </c>
      <c r="C17" s="8" t="s">
        <v>26</v>
      </c>
      <c r="D17" s="9" t="s">
        <v>198</v>
      </c>
      <c r="E17" s="10"/>
    </row>
    <row r="18" spans="2:5" x14ac:dyDescent="0.2">
      <c r="B18" s="8">
        <f t="shared" si="0"/>
        <v>11</v>
      </c>
      <c r="C18" s="8" t="s">
        <v>27</v>
      </c>
      <c r="D18" s="11" t="s">
        <v>256</v>
      </c>
      <c r="E18" s="10"/>
    </row>
    <row r="19" spans="2:5" x14ac:dyDescent="0.2">
      <c r="B19" s="8">
        <f t="shared" si="0"/>
        <v>12</v>
      </c>
      <c r="C19" s="8" t="s">
        <v>28</v>
      </c>
      <c r="D19" s="11" t="s">
        <v>199</v>
      </c>
      <c r="E19" s="10"/>
    </row>
    <row r="20" spans="2:5" x14ac:dyDescent="0.2">
      <c r="B20" s="8">
        <f t="shared" si="0"/>
        <v>13</v>
      </c>
      <c r="C20" s="8" t="s">
        <v>29</v>
      </c>
      <c r="D20" s="11" t="s">
        <v>139</v>
      </c>
      <c r="E20" s="10"/>
    </row>
    <row r="21" spans="2:5" x14ac:dyDescent="0.2">
      <c r="B21" s="8">
        <f t="shared" si="0"/>
        <v>14</v>
      </c>
      <c r="C21" s="8" t="s">
        <v>30</v>
      </c>
      <c r="D21" s="11" t="s">
        <v>23</v>
      </c>
      <c r="E21" s="10"/>
    </row>
    <row r="22" spans="2:5" x14ac:dyDescent="0.2">
      <c r="B22" s="8">
        <f t="shared" si="0"/>
        <v>15</v>
      </c>
      <c r="C22" s="8" t="s">
        <v>31</v>
      </c>
      <c r="D22" s="9" t="s">
        <v>287</v>
      </c>
      <c r="E22" s="10"/>
    </row>
    <row r="23" spans="2:5" x14ac:dyDescent="0.2">
      <c r="B23" s="8">
        <f t="shared" si="0"/>
        <v>16</v>
      </c>
      <c r="C23" s="8" t="s">
        <v>32</v>
      </c>
      <c r="D23" s="9" t="s">
        <v>288</v>
      </c>
      <c r="E23" s="10"/>
    </row>
    <row r="24" spans="2:5" x14ac:dyDescent="0.2">
      <c r="B24" s="8">
        <f t="shared" si="0"/>
        <v>17</v>
      </c>
      <c r="C24" s="8" t="s">
        <v>140</v>
      </c>
      <c r="D24" s="9" t="s">
        <v>202</v>
      </c>
      <c r="E24" s="10"/>
    </row>
    <row r="25" spans="2:5" x14ac:dyDescent="0.2">
      <c r="B25" s="8">
        <f t="shared" si="0"/>
        <v>18</v>
      </c>
      <c r="C25" s="8" t="s">
        <v>145</v>
      </c>
      <c r="D25" s="9" t="s">
        <v>289</v>
      </c>
      <c r="E25" s="10"/>
    </row>
    <row r="26" spans="2:5" x14ac:dyDescent="0.2">
      <c r="B26" s="8">
        <f t="shared" si="0"/>
        <v>19</v>
      </c>
      <c r="C26" s="8" t="s">
        <v>278</v>
      </c>
      <c r="D26" s="9" t="s">
        <v>195</v>
      </c>
      <c r="E26" s="10"/>
    </row>
    <row r="27" spans="2:5" x14ac:dyDescent="0.2">
      <c r="B27" s="8">
        <f t="shared" si="0"/>
        <v>20</v>
      </c>
      <c r="C27" s="8" t="s">
        <v>189</v>
      </c>
      <c r="D27" s="9" t="s">
        <v>290</v>
      </c>
      <c r="E27" s="10"/>
    </row>
    <row r="28" spans="2:5" x14ac:dyDescent="0.2">
      <c r="B28" s="8">
        <f t="shared" si="0"/>
        <v>21</v>
      </c>
      <c r="C28" s="8" t="s">
        <v>190</v>
      </c>
      <c r="D28" s="11" t="s">
        <v>291</v>
      </c>
      <c r="E28" s="10"/>
    </row>
  </sheetData>
  <mergeCells count="3">
    <mergeCell ref="B2:E2"/>
    <mergeCell ref="B4:E4"/>
    <mergeCell ref="B3:E3"/>
  </mergeCells>
  <phoneticPr fontId="12" type="noConversion"/>
  <pageMargins left="0.8" right="0.23622047244094499" top="0.60236220500000004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4"/>
  <sheetViews>
    <sheetView showGridLines="0" view="pageBreakPreview" zoomScale="90" zoomScaleNormal="93" zoomScaleSheetLayoutView="90" workbookViewId="0">
      <selection activeCell="G33" sqref="G33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299</v>
      </c>
      <c r="I2" s="35"/>
    </row>
    <row r="3" spans="2:15" ht="15" x14ac:dyDescent="0.2">
      <c r="H3" s="34" t="s">
        <v>339</v>
      </c>
      <c r="I3" s="35"/>
    </row>
    <row r="4" spans="2:15" ht="15" x14ac:dyDescent="0.2">
      <c r="H4" s="37" t="s">
        <v>239</v>
      </c>
      <c r="I4" s="37"/>
    </row>
    <row r="5" spans="2:15" ht="15.75" thickBot="1" x14ac:dyDescent="0.25">
      <c r="K5" s="37"/>
      <c r="O5" s="184" t="s">
        <v>346</v>
      </c>
    </row>
    <row r="6" spans="2:15" ht="15" x14ac:dyDescent="0.2">
      <c r="B6" s="211" t="s">
        <v>300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2:15" ht="14.25" customHeight="1" x14ac:dyDescent="0.2">
      <c r="B7" s="214" t="s">
        <v>2</v>
      </c>
      <c r="C7" s="216" t="s">
        <v>232</v>
      </c>
      <c r="D7" s="218" t="s">
        <v>220</v>
      </c>
      <c r="E7" s="218" t="s">
        <v>221</v>
      </c>
      <c r="F7" s="218" t="s">
        <v>222</v>
      </c>
      <c r="G7" s="218"/>
      <c r="H7" s="218"/>
      <c r="I7" s="218"/>
      <c r="J7" s="218" t="s">
        <v>223</v>
      </c>
      <c r="K7" s="218"/>
      <c r="L7" s="218"/>
      <c r="M7" s="218"/>
      <c r="N7" s="218" t="s">
        <v>224</v>
      </c>
      <c r="O7" s="220"/>
    </row>
    <row r="8" spans="2:15" ht="60.75" thickBot="1" x14ac:dyDescent="0.25">
      <c r="B8" s="215"/>
      <c r="C8" s="217"/>
      <c r="D8" s="219"/>
      <c r="E8" s="219"/>
      <c r="F8" s="65" t="s">
        <v>225</v>
      </c>
      <c r="G8" s="65" t="s">
        <v>123</v>
      </c>
      <c r="H8" s="65" t="s">
        <v>226</v>
      </c>
      <c r="I8" s="65" t="s">
        <v>227</v>
      </c>
      <c r="J8" s="65" t="s">
        <v>228</v>
      </c>
      <c r="K8" s="65" t="s">
        <v>123</v>
      </c>
      <c r="L8" s="65" t="s">
        <v>229</v>
      </c>
      <c r="M8" s="65" t="s">
        <v>230</v>
      </c>
      <c r="N8" s="65" t="s">
        <v>225</v>
      </c>
      <c r="O8" s="66" t="s">
        <v>227</v>
      </c>
    </row>
    <row r="9" spans="2:15" x14ac:dyDescent="0.2">
      <c r="B9" s="145">
        <v>1</v>
      </c>
      <c r="C9" s="146" t="s">
        <v>305</v>
      </c>
      <c r="D9" s="145">
        <v>1000</v>
      </c>
      <c r="E9" s="147">
        <v>0</v>
      </c>
      <c r="F9" s="148">
        <v>5.1945905000000003</v>
      </c>
      <c r="G9" s="148">
        <v>3.2008751000000002</v>
      </c>
      <c r="H9" s="148">
        <v>0</v>
      </c>
      <c r="I9" s="149">
        <f>F9+G9+H9</f>
        <v>8.3954656000000014</v>
      </c>
      <c r="J9" s="148">
        <v>0</v>
      </c>
      <c r="K9" s="148">
        <v>0</v>
      </c>
      <c r="L9" s="148">
        <v>0</v>
      </c>
      <c r="M9" s="149">
        <f>J9+K9+L9</f>
        <v>0</v>
      </c>
      <c r="N9" s="148">
        <f>+F9-J9</f>
        <v>5.1945905000000003</v>
      </c>
      <c r="O9" s="148">
        <f>+I9-M9</f>
        <v>8.3954656000000014</v>
      </c>
    </row>
    <row r="10" spans="2:15" x14ac:dyDescent="0.2">
      <c r="B10" s="145">
        <v>2</v>
      </c>
      <c r="C10" s="146" t="s">
        <v>312</v>
      </c>
      <c r="D10" s="145">
        <v>1010</v>
      </c>
      <c r="E10" s="147"/>
      <c r="F10" s="150">
        <v>3.2008751000000002</v>
      </c>
      <c r="G10" s="150">
        <v>4.552575</v>
      </c>
      <c r="H10" s="150">
        <v>-3.2008751000000002</v>
      </c>
      <c r="I10" s="149">
        <f t="shared" ref="I10:I21" si="0">F10+G10+H10</f>
        <v>4.552575</v>
      </c>
      <c r="J10" s="150">
        <v>0</v>
      </c>
      <c r="K10" s="150">
        <v>0</v>
      </c>
      <c r="L10" s="150"/>
      <c r="M10" s="149">
        <f t="shared" ref="M10:M21" si="1">J10+K10+L10</f>
        <v>0</v>
      </c>
      <c r="N10" s="150">
        <f t="shared" ref="N10:N21" si="2">+F10-J10</f>
        <v>3.2008751000000002</v>
      </c>
      <c r="O10" s="150">
        <f t="shared" ref="O10:O21" si="3">+I10-M10</f>
        <v>4.552575</v>
      </c>
    </row>
    <row r="11" spans="2:15" x14ac:dyDescent="0.2">
      <c r="B11" s="145">
        <v>3</v>
      </c>
      <c r="C11" s="146" t="s">
        <v>113</v>
      </c>
      <c r="D11" s="145">
        <v>1100</v>
      </c>
      <c r="E11" s="151">
        <v>3.3399999999999999E-2</v>
      </c>
      <c r="F11" s="149">
        <v>27.547710608999996</v>
      </c>
      <c r="G11" s="149">
        <v>5.4974189999999999E-2</v>
      </c>
      <c r="H11" s="149">
        <v>-6.3687699999999999E-4</v>
      </c>
      <c r="I11" s="149">
        <f t="shared" si="0"/>
        <v>27.602047921999993</v>
      </c>
      <c r="J11" s="149">
        <v>5.7538788710000004</v>
      </c>
      <c r="K11" s="149">
        <v>0.92073203400000003</v>
      </c>
      <c r="L11" s="149">
        <v>0</v>
      </c>
      <c r="M11" s="149">
        <f t="shared" si="1"/>
        <v>6.6746109050000006</v>
      </c>
      <c r="N11" s="148">
        <f t="shared" si="2"/>
        <v>21.793831737999994</v>
      </c>
      <c r="O11" s="148">
        <f t="shared" si="3"/>
        <v>20.927437016999992</v>
      </c>
    </row>
    <row r="12" spans="2:15" x14ac:dyDescent="0.2">
      <c r="B12" s="145">
        <f>+B11+1</f>
        <v>4</v>
      </c>
      <c r="C12" s="146" t="s">
        <v>306</v>
      </c>
      <c r="D12" s="145">
        <v>1200</v>
      </c>
      <c r="E12" s="151">
        <v>5.28E-2</v>
      </c>
      <c r="F12" s="152">
        <v>0</v>
      </c>
      <c r="G12" s="149">
        <v>0</v>
      </c>
      <c r="H12" s="149">
        <v>0</v>
      </c>
      <c r="I12" s="149">
        <f t="shared" si="0"/>
        <v>0</v>
      </c>
      <c r="J12" s="152">
        <v>0</v>
      </c>
      <c r="K12" s="149">
        <v>0</v>
      </c>
      <c r="L12" s="149">
        <v>0</v>
      </c>
      <c r="M12" s="149">
        <f t="shared" si="1"/>
        <v>0</v>
      </c>
      <c r="N12" s="148">
        <f t="shared" si="2"/>
        <v>0</v>
      </c>
      <c r="O12" s="148">
        <f t="shared" si="3"/>
        <v>0</v>
      </c>
    </row>
    <row r="13" spans="2:15" x14ac:dyDescent="0.2">
      <c r="B13" s="145">
        <f t="shared" ref="B13:B21" si="4">+B12+1</f>
        <v>5</v>
      </c>
      <c r="C13" s="146" t="s">
        <v>112</v>
      </c>
      <c r="D13" s="145">
        <v>1300</v>
      </c>
      <c r="E13" s="151">
        <v>5.28E-2</v>
      </c>
      <c r="F13" s="149">
        <f>818.345339867-203.91</f>
        <v>614.43533986700004</v>
      </c>
      <c r="G13" s="149">
        <v>0.60944324599999999</v>
      </c>
      <c r="H13" s="149">
        <v>0</v>
      </c>
      <c r="I13" s="149">
        <f t="shared" si="0"/>
        <v>615.04478311299999</v>
      </c>
      <c r="J13" s="149">
        <f>257.130067356+33.49</f>
        <v>290.62006735599999</v>
      </c>
      <c r="K13" s="149">
        <f>43.214522865-9.06</f>
        <v>34.154522864999997</v>
      </c>
      <c r="L13" s="149"/>
      <c r="M13" s="149">
        <f t="shared" si="1"/>
        <v>324.77459022099998</v>
      </c>
      <c r="N13" s="148">
        <f t="shared" si="2"/>
        <v>323.81527251100005</v>
      </c>
      <c r="O13" s="148">
        <f t="shared" si="3"/>
        <v>290.27019289200001</v>
      </c>
    </row>
    <row r="14" spans="2:15" x14ac:dyDescent="0.2">
      <c r="B14" s="145">
        <f t="shared" si="4"/>
        <v>6</v>
      </c>
      <c r="C14" s="153" t="s">
        <v>307</v>
      </c>
      <c r="D14" s="145">
        <v>1400</v>
      </c>
      <c r="E14" s="151">
        <v>5.28E-2</v>
      </c>
      <c r="F14" s="149">
        <v>0</v>
      </c>
      <c r="G14" s="149">
        <v>0</v>
      </c>
      <c r="H14" s="149">
        <v>0</v>
      </c>
      <c r="I14" s="149">
        <f t="shared" si="0"/>
        <v>0</v>
      </c>
      <c r="J14" s="149">
        <v>0</v>
      </c>
      <c r="K14" s="149">
        <v>0</v>
      </c>
      <c r="L14" s="149">
        <v>0</v>
      </c>
      <c r="M14" s="149">
        <f t="shared" si="1"/>
        <v>0</v>
      </c>
      <c r="N14" s="148">
        <f t="shared" si="2"/>
        <v>0</v>
      </c>
      <c r="O14" s="148">
        <f t="shared" si="3"/>
        <v>0</v>
      </c>
    </row>
    <row r="15" spans="2:15" x14ac:dyDescent="0.2">
      <c r="B15" s="145">
        <f t="shared" si="4"/>
        <v>7</v>
      </c>
      <c r="C15" s="153" t="s">
        <v>115</v>
      </c>
      <c r="D15" s="145">
        <v>1500</v>
      </c>
      <c r="E15" s="151">
        <v>5.28E-2</v>
      </c>
      <c r="F15" s="149">
        <v>239.82272132899999</v>
      </c>
      <c r="G15" s="149">
        <v>0</v>
      </c>
      <c r="H15" s="149">
        <v>0</v>
      </c>
      <c r="I15" s="149">
        <f t="shared" si="0"/>
        <v>239.82272132899999</v>
      </c>
      <c r="J15" s="149">
        <v>67.602443973999996</v>
      </c>
      <c r="K15" s="149">
        <v>12.662639686</v>
      </c>
      <c r="L15" s="149">
        <v>0</v>
      </c>
      <c r="M15" s="149">
        <f t="shared" si="1"/>
        <v>80.265083660000002</v>
      </c>
      <c r="N15" s="148">
        <f t="shared" si="2"/>
        <v>172.22027735500001</v>
      </c>
      <c r="O15" s="148">
        <f t="shared" si="3"/>
        <v>159.55763766899997</v>
      </c>
    </row>
    <row r="16" spans="2:15" x14ac:dyDescent="0.2">
      <c r="B16" s="145">
        <f t="shared" si="4"/>
        <v>8</v>
      </c>
      <c r="C16" s="153" t="s">
        <v>308</v>
      </c>
      <c r="D16" s="145">
        <v>1600</v>
      </c>
      <c r="E16" s="151">
        <v>3.3399999999999999E-2</v>
      </c>
      <c r="F16" s="149">
        <v>740.59133907900002</v>
      </c>
      <c r="G16" s="149">
        <v>0.14260958999999998</v>
      </c>
      <c r="H16" s="149">
        <v>-1.1344890539999999</v>
      </c>
      <c r="I16" s="149">
        <f t="shared" si="0"/>
        <v>739.599459615</v>
      </c>
      <c r="J16" s="149">
        <v>174.388026376</v>
      </c>
      <c r="K16" s="149">
        <v>24.738039053999998</v>
      </c>
      <c r="L16" s="149">
        <v>0</v>
      </c>
      <c r="M16" s="149">
        <f t="shared" si="1"/>
        <v>199.12606542999998</v>
      </c>
      <c r="N16" s="148">
        <f t="shared" si="2"/>
        <v>566.20331270300005</v>
      </c>
      <c r="O16" s="148">
        <f t="shared" si="3"/>
        <v>540.47339418499996</v>
      </c>
    </row>
    <row r="17" spans="2:16" x14ac:dyDescent="0.2">
      <c r="B17" s="145">
        <f t="shared" si="4"/>
        <v>9</v>
      </c>
      <c r="C17" s="153" t="s">
        <v>117</v>
      </c>
      <c r="D17" s="145">
        <v>1700</v>
      </c>
      <c r="E17" s="154">
        <v>9.5000000000000001E-2</v>
      </c>
      <c r="F17" s="149">
        <v>7.6712600000000006E-2</v>
      </c>
      <c r="G17" s="149">
        <v>0</v>
      </c>
      <c r="H17" s="149">
        <v>0</v>
      </c>
      <c r="I17" s="149">
        <f t="shared" si="0"/>
        <v>7.6712600000000006E-2</v>
      </c>
      <c r="J17" s="149">
        <v>6.9041340000000007E-2</v>
      </c>
      <c r="K17" s="149">
        <v>0</v>
      </c>
      <c r="L17" s="149">
        <v>0</v>
      </c>
      <c r="M17" s="149">
        <f t="shared" si="1"/>
        <v>6.9041340000000007E-2</v>
      </c>
      <c r="N17" s="148">
        <f t="shared" si="2"/>
        <v>7.6712599999999992E-3</v>
      </c>
      <c r="O17" s="148">
        <f t="shared" si="3"/>
        <v>7.6712599999999992E-3</v>
      </c>
    </row>
    <row r="18" spans="2:16" x14ac:dyDescent="0.2">
      <c r="B18" s="145">
        <f t="shared" si="4"/>
        <v>10</v>
      </c>
      <c r="C18" s="153" t="s">
        <v>309</v>
      </c>
      <c r="D18" s="145">
        <v>1800</v>
      </c>
      <c r="E18" s="151">
        <v>6.3299999999999995E-2</v>
      </c>
      <c r="F18" s="149">
        <v>0.29877994400000002</v>
      </c>
      <c r="G18" s="149">
        <v>0</v>
      </c>
      <c r="H18" s="149">
        <v>0</v>
      </c>
      <c r="I18" s="149">
        <f t="shared" si="0"/>
        <v>0.29877994400000002</v>
      </c>
      <c r="J18" s="149">
        <v>0.20619411100000001</v>
      </c>
      <c r="K18" s="149">
        <v>7.0598259999999991E-3</v>
      </c>
      <c r="L18" s="149">
        <v>0</v>
      </c>
      <c r="M18" s="149">
        <f t="shared" si="1"/>
        <v>0.213253937</v>
      </c>
      <c r="N18" s="148">
        <f t="shared" si="2"/>
        <v>9.2585833000000006E-2</v>
      </c>
      <c r="O18" s="148">
        <f t="shared" si="3"/>
        <v>8.5526007000000015E-2</v>
      </c>
    </row>
    <row r="19" spans="2:16" x14ac:dyDescent="0.2">
      <c r="B19" s="145">
        <f t="shared" si="4"/>
        <v>11</v>
      </c>
      <c r="C19" s="153" t="s">
        <v>310</v>
      </c>
      <c r="D19" s="145">
        <v>1900</v>
      </c>
      <c r="E19" s="155">
        <v>0.15</v>
      </c>
      <c r="F19" s="149">
        <v>0.194506084</v>
      </c>
      <c r="G19" s="149">
        <v>0</v>
      </c>
      <c r="H19" s="149">
        <v>0</v>
      </c>
      <c r="I19" s="149">
        <f t="shared" si="0"/>
        <v>0.194506084</v>
      </c>
      <c r="J19" s="149">
        <v>0.16372682499999999</v>
      </c>
      <c r="K19" s="149">
        <v>4.321521E-3</v>
      </c>
      <c r="L19" s="149">
        <v>0</v>
      </c>
      <c r="M19" s="149">
        <f t="shared" si="1"/>
        <v>0.16804834599999999</v>
      </c>
      <c r="N19" s="148">
        <f t="shared" si="2"/>
        <v>3.0779259000000003E-2</v>
      </c>
      <c r="O19" s="148">
        <f t="shared" si="3"/>
        <v>2.6457738000000008E-2</v>
      </c>
    </row>
    <row r="20" spans="2:16" x14ac:dyDescent="0.2">
      <c r="B20" s="145">
        <f t="shared" si="4"/>
        <v>12</v>
      </c>
      <c r="C20" s="146" t="s">
        <v>119</v>
      </c>
      <c r="D20" s="147">
        <v>2100</v>
      </c>
      <c r="E20" s="156">
        <v>6.3299999999999995E-2</v>
      </c>
      <c r="F20" s="149">
        <v>0.2050688</v>
      </c>
      <c r="G20" s="149">
        <v>2.4072E-3</v>
      </c>
      <c r="H20" s="149">
        <v>0</v>
      </c>
      <c r="I20" s="149">
        <f t="shared" si="0"/>
        <v>0.20747599999999999</v>
      </c>
      <c r="J20" s="149">
        <v>0.12387635500000001</v>
      </c>
      <c r="K20" s="149">
        <v>9.2283940000000009E-3</v>
      </c>
      <c r="L20" s="149">
        <v>0</v>
      </c>
      <c r="M20" s="149">
        <f t="shared" si="1"/>
        <v>0.13310474900000002</v>
      </c>
      <c r="N20" s="148">
        <f t="shared" si="2"/>
        <v>8.1192444999999988E-2</v>
      </c>
      <c r="O20" s="148">
        <f t="shared" si="3"/>
        <v>7.4371250999999972E-2</v>
      </c>
    </row>
    <row r="21" spans="2:16" x14ac:dyDescent="0.2">
      <c r="B21" s="145">
        <f t="shared" si="4"/>
        <v>13</v>
      </c>
      <c r="C21" s="146" t="s">
        <v>311</v>
      </c>
      <c r="D21" s="147">
        <v>2200</v>
      </c>
      <c r="E21" s="156">
        <v>0.15</v>
      </c>
      <c r="F21" s="149">
        <v>1.4529800000000001E-2</v>
      </c>
      <c r="G21" s="149">
        <v>0</v>
      </c>
      <c r="H21" s="149">
        <v>0</v>
      </c>
      <c r="I21" s="149">
        <f t="shared" si="0"/>
        <v>1.4529800000000001E-2</v>
      </c>
      <c r="J21" s="149">
        <v>1.4529800000000001E-2</v>
      </c>
      <c r="K21" s="149">
        <v>0</v>
      </c>
      <c r="L21" s="149">
        <v>0</v>
      </c>
      <c r="M21" s="149">
        <f t="shared" si="1"/>
        <v>1.4529800000000001E-2</v>
      </c>
      <c r="N21" s="148">
        <f t="shared" si="2"/>
        <v>0</v>
      </c>
      <c r="O21" s="148">
        <f t="shared" si="3"/>
        <v>0</v>
      </c>
    </row>
    <row r="22" spans="2:16" s="50" customFormat="1" ht="15.75" thickBot="1" x14ac:dyDescent="0.25">
      <c r="B22" s="175"/>
      <c r="C22" s="176" t="s">
        <v>124</v>
      </c>
      <c r="D22" s="176"/>
      <c r="E22" s="177">
        <f>IFERROR((K22-L22)/AVERAGE(F22,I22),0)</f>
        <v>4.4377928560716658E-2</v>
      </c>
      <c r="F22" s="178">
        <v>1631.58</v>
      </c>
      <c r="G22" s="178">
        <v>8.57</v>
      </c>
      <c r="H22" s="178">
        <v>-4.34</v>
      </c>
      <c r="I22" s="178">
        <v>1635.81</v>
      </c>
      <c r="J22" s="179">
        <v>538.93999999999994</v>
      </c>
      <c r="K22" s="178">
        <v>72.5</v>
      </c>
      <c r="L22" s="180">
        <v>0</v>
      </c>
      <c r="M22" s="179">
        <v>611.43999999999994</v>
      </c>
      <c r="N22" s="178">
        <v>1092.6399999999999</v>
      </c>
      <c r="O22" s="178">
        <v>1024.3699999999999</v>
      </c>
      <c r="P22" s="174"/>
    </row>
    <row r="23" spans="2:16" x14ac:dyDescent="0.2"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  <row r="24" spans="2:16" x14ac:dyDescent="0.2">
      <c r="K24" s="181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.25" footer="0.25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tabSelected="1" view="pageBreakPreview" topLeftCell="A27" zoomScale="90" zoomScaleNormal="98" zoomScaleSheetLayoutView="90" workbookViewId="0">
      <selection activeCell="D62" sqref="D62:F62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241</v>
      </c>
      <c r="C4" s="190"/>
      <c r="D4" s="190"/>
      <c r="E4" s="190"/>
      <c r="F4" s="190"/>
    </row>
    <row r="5" spans="2:6" ht="15" x14ac:dyDescent="0.2">
      <c r="B5" s="35" t="s">
        <v>42</v>
      </c>
      <c r="C5" s="26" t="s">
        <v>242</v>
      </c>
      <c r="D5" s="27"/>
      <c r="E5" s="27"/>
      <c r="F5" s="27"/>
    </row>
    <row r="6" spans="2:6" x14ac:dyDescent="0.2">
      <c r="F6" s="184" t="s">
        <v>346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148</v>
      </c>
      <c r="D10" s="2"/>
      <c r="E10" s="118">
        <f>'F4'!F22*0.7</f>
        <v>1142.1059999999998</v>
      </c>
      <c r="F10" s="118">
        <f>E10</f>
        <v>1142.1059999999998</v>
      </c>
    </row>
    <row r="11" spans="2:6" x14ac:dyDescent="0.2">
      <c r="B11" s="22">
        <f>B10+1</f>
        <v>2</v>
      </c>
      <c r="C11" s="28" t="s">
        <v>149</v>
      </c>
      <c r="D11" s="2"/>
      <c r="E11" s="118">
        <f>'F4'!J22</f>
        <v>538.93999999999994</v>
      </c>
      <c r="F11" s="118">
        <f>E11</f>
        <v>538.93999999999994</v>
      </c>
    </row>
    <row r="12" spans="2:6" ht="15" x14ac:dyDescent="0.2">
      <c r="B12" s="22">
        <f t="shared" ref="B12:B22" si="0">B11+1</f>
        <v>3</v>
      </c>
      <c r="C12" s="30" t="s">
        <v>150</v>
      </c>
      <c r="D12" s="113">
        <f>D10-D11</f>
        <v>0</v>
      </c>
      <c r="E12" s="113">
        <f>IF((E10-E11)&lt;0,0,(E10-E11))</f>
        <v>603.16599999999983</v>
      </c>
      <c r="F12" s="113">
        <f>IF((F10-F11)&lt;0,0,(F10-F11))</f>
        <v>603.16599999999983</v>
      </c>
    </row>
    <row r="13" spans="2:6" ht="28.5" x14ac:dyDescent="0.2">
      <c r="B13" s="22">
        <f t="shared" si="0"/>
        <v>4</v>
      </c>
      <c r="C13" s="69" t="s">
        <v>151</v>
      </c>
      <c r="D13" s="117"/>
      <c r="E13" s="117"/>
      <c r="F13" s="117"/>
    </row>
    <row r="14" spans="2:6" s="34" customFormat="1" ht="28.5" x14ac:dyDescent="0.2">
      <c r="B14" s="22">
        <f t="shared" si="0"/>
        <v>5</v>
      </c>
      <c r="C14" s="39" t="s">
        <v>296</v>
      </c>
      <c r="D14" s="117"/>
      <c r="E14" s="124">
        <f>'F3'!E12*0.7</f>
        <v>2.9610000000000003</v>
      </c>
      <c r="F14" s="124">
        <f>E14</f>
        <v>2.9610000000000003</v>
      </c>
    </row>
    <row r="15" spans="2:6" x14ac:dyDescent="0.2">
      <c r="B15" s="22">
        <f t="shared" si="0"/>
        <v>6</v>
      </c>
      <c r="C15" s="69" t="s">
        <v>156</v>
      </c>
      <c r="D15" s="133"/>
      <c r="E15" s="133">
        <f>'F1'!G12</f>
        <v>72.5</v>
      </c>
      <c r="F15" s="133">
        <f>'F1'!H12</f>
        <v>72.5</v>
      </c>
    </row>
    <row r="16" spans="2:6" ht="15" x14ac:dyDescent="0.2">
      <c r="B16" s="22">
        <f t="shared" si="0"/>
        <v>7</v>
      </c>
      <c r="C16" s="28" t="s">
        <v>152</v>
      </c>
      <c r="D16" s="113"/>
      <c r="E16" s="113">
        <f>IF((E12-E13+E14-E15)&lt;0,0,(E12-E13+E14-E15))</f>
        <v>533.62699999999984</v>
      </c>
      <c r="F16" s="113">
        <f>IF((F12-F13+F14-F15)&lt;0,0,(F12-F13+F14-F15))</f>
        <v>533.62699999999984</v>
      </c>
    </row>
    <row r="17" spans="2:6" ht="15" x14ac:dyDescent="0.2">
      <c r="B17" s="22">
        <f t="shared" si="0"/>
        <v>8</v>
      </c>
      <c r="C17" s="28" t="s">
        <v>153</v>
      </c>
      <c r="D17" s="113"/>
      <c r="E17" s="113">
        <f t="shared" ref="E17:F17" si="1">E10-E13+E14-E15</f>
        <v>1072.5669999999998</v>
      </c>
      <c r="F17" s="113">
        <f t="shared" si="1"/>
        <v>1072.5669999999998</v>
      </c>
    </row>
    <row r="18" spans="2:6" ht="15" x14ac:dyDescent="0.2">
      <c r="B18" s="22">
        <f t="shared" si="0"/>
        <v>9</v>
      </c>
      <c r="C18" s="28" t="s">
        <v>182</v>
      </c>
      <c r="D18" s="113"/>
      <c r="E18" s="113">
        <f t="shared" ref="E18:F18" si="2">AVERAGE(E12,E16)</f>
        <v>568.39649999999983</v>
      </c>
      <c r="F18" s="113">
        <f t="shared" si="2"/>
        <v>568.39649999999983</v>
      </c>
    </row>
    <row r="19" spans="2:6" x14ac:dyDescent="0.2">
      <c r="B19" s="22">
        <f t="shared" si="0"/>
        <v>10</v>
      </c>
      <c r="C19" s="69" t="s">
        <v>181</v>
      </c>
      <c r="D19" s="115"/>
      <c r="E19" s="115">
        <v>9.9500000000000005E-2</v>
      </c>
      <c r="F19" s="115">
        <f>E19</f>
        <v>9.9500000000000005E-2</v>
      </c>
    </row>
    <row r="20" spans="2:6" ht="15" x14ac:dyDescent="0.2">
      <c r="B20" s="22">
        <f t="shared" si="0"/>
        <v>11</v>
      </c>
      <c r="C20" s="28" t="s">
        <v>243</v>
      </c>
      <c r="D20" s="113">
        <f>D18*D19</f>
        <v>0</v>
      </c>
      <c r="E20" s="113">
        <f>E18*E19</f>
        <v>56.555451749999989</v>
      </c>
      <c r="F20" s="113">
        <f>F18*F19</f>
        <v>56.555451749999989</v>
      </c>
    </row>
    <row r="21" spans="2:6" x14ac:dyDescent="0.2">
      <c r="B21" s="22">
        <f t="shared" si="0"/>
        <v>12</v>
      </c>
      <c r="C21" s="28" t="s">
        <v>246</v>
      </c>
      <c r="D21" s="70"/>
      <c r="E21" s="70"/>
      <c r="F21" s="70"/>
    </row>
    <row r="22" spans="2:6" ht="15" x14ac:dyDescent="0.2">
      <c r="B22" s="22">
        <f t="shared" si="0"/>
        <v>13</v>
      </c>
      <c r="C22" s="28" t="s">
        <v>247</v>
      </c>
      <c r="D22" s="113">
        <v>54.07</v>
      </c>
      <c r="E22" s="113">
        <f>ROUND(IF((E20+E21)&lt;0,0,(E20+E21)),2)</f>
        <v>56.56</v>
      </c>
      <c r="F22" s="113">
        <f>ROUND(IF((F20+F21)&lt;0,0,(F20+F21)),2)</f>
        <v>56.56</v>
      </c>
    </row>
    <row r="23" spans="2:6" x14ac:dyDescent="0.2">
      <c r="B23" s="36"/>
    </row>
    <row r="24" spans="2:6" x14ac:dyDescent="0.2">
      <c r="B24" s="36"/>
      <c r="C24" s="5" t="s">
        <v>206</v>
      </c>
    </row>
    <row r="25" spans="2:6" x14ac:dyDescent="0.2">
      <c r="C25" s="5" t="s">
        <v>297</v>
      </c>
    </row>
    <row r="27" spans="2:6" ht="15" x14ac:dyDescent="0.2">
      <c r="B27" s="35" t="s">
        <v>47</v>
      </c>
      <c r="C27" s="26" t="s">
        <v>244</v>
      </c>
    </row>
    <row r="28" spans="2:6" x14ac:dyDescent="0.2">
      <c r="F28" s="184" t="s">
        <v>346</v>
      </c>
    </row>
    <row r="29" spans="2:6" ht="15" customHeight="1" x14ac:dyDescent="0.2">
      <c r="B29" s="194" t="s">
        <v>164</v>
      </c>
      <c r="C29" s="197" t="s">
        <v>15</v>
      </c>
      <c r="D29" s="201" t="s">
        <v>300</v>
      </c>
      <c r="E29" s="202"/>
      <c r="F29" s="203"/>
    </row>
    <row r="30" spans="2:6" ht="15" x14ac:dyDescent="0.2">
      <c r="B30" s="195"/>
      <c r="C30" s="197"/>
      <c r="D30" s="201" t="s">
        <v>204</v>
      </c>
      <c r="E30" s="202"/>
      <c r="F30" s="203"/>
    </row>
    <row r="31" spans="2:6" ht="15" x14ac:dyDescent="0.2">
      <c r="B31" s="196"/>
      <c r="C31" s="198"/>
      <c r="D31" s="201" t="s">
        <v>9</v>
      </c>
      <c r="E31" s="202"/>
      <c r="F31" s="203"/>
    </row>
    <row r="32" spans="2:6" ht="15" x14ac:dyDescent="0.2">
      <c r="B32" s="22">
        <v>1</v>
      </c>
      <c r="C32" s="171" t="s">
        <v>342</v>
      </c>
      <c r="D32" s="224"/>
      <c r="E32" s="225"/>
      <c r="F32" s="226"/>
    </row>
    <row r="33" spans="2:6" x14ac:dyDescent="0.2">
      <c r="B33" s="28"/>
      <c r="C33" s="28" t="s">
        <v>10</v>
      </c>
      <c r="D33" s="224">
        <v>820.95</v>
      </c>
      <c r="E33" s="225"/>
      <c r="F33" s="226"/>
    </row>
    <row r="34" spans="2:6" x14ac:dyDescent="0.2">
      <c r="B34" s="28"/>
      <c r="C34" s="28" t="s">
        <v>144</v>
      </c>
      <c r="D34" s="224">
        <v>0</v>
      </c>
      <c r="E34" s="225"/>
      <c r="F34" s="226"/>
    </row>
    <row r="35" spans="2:6" x14ac:dyDescent="0.2">
      <c r="B35" s="28"/>
      <c r="C35" s="28" t="s">
        <v>11</v>
      </c>
      <c r="D35" s="224">
        <v>58.64</v>
      </c>
      <c r="E35" s="225"/>
      <c r="F35" s="226"/>
    </row>
    <row r="36" spans="2:6" ht="15" x14ac:dyDescent="0.2">
      <c r="B36" s="28"/>
      <c r="C36" s="28" t="s">
        <v>12</v>
      </c>
      <c r="D36" s="227">
        <f>D33+D34-D35</f>
        <v>762.31000000000006</v>
      </c>
      <c r="E36" s="228"/>
      <c r="F36" s="229"/>
    </row>
    <row r="37" spans="2:6" ht="15" x14ac:dyDescent="0.2">
      <c r="B37" s="28"/>
      <c r="C37" s="28" t="s">
        <v>183</v>
      </c>
      <c r="D37" s="227">
        <v>793.65</v>
      </c>
      <c r="E37" s="228"/>
      <c r="F37" s="229"/>
    </row>
    <row r="38" spans="2:6" x14ac:dyDescent="0.2">
      <c r="B38" s="28"/>
      <c r="C38" s="28" t="s">
        <v>13</v>
      </c>
      <c r="D38" s="224">
        <v>9.9499999999999993</v>
      </c>
      <c r="E38" s="225"/>
      <c r="F38" s="226"/>
    </row>
    <row r="39" spans="2:6" ht="15" x14ac:dyDescent="0.2">
      <c r="B39" s="28"/>
      <c r="C39" s="28" t="s">
        <v>243</v>
      </c>
      <c r="D39" s="230">
        <v>78.97</v>
      </c>
      <c r="E39" s="231"/>
      <c r="F39" s="232"/>
    </row>
    <row r="40" spans="2:6" x14ac:dyDescent="0.2">
      <c r="B40" s="28"/>
      <c r="C40" s="28" t="s">
        <v>246</v>
      </c>
      <c r="D40" s="224">
        <v>0</v>
      </c>
      <c r="E40" s="225"/>
      <c r="F40" s="226"/>
    </row>
    <row r="41" spans="2:6" ht="15" x14ac:dyDescent="0.2">
      <c r="B41" s="28"/>
      <c r="C41" s="28" t="s">
        <v>247</v>
      </c>
      <c r="D41" s="227">
        <f>D39+D40</f>
        <v>78.97</v>
      </c>
      <c r="E41" s="228"/>
      <c r="F41" s="229"/>
    </row>
    <row r="42" spans="2:6" ht="15" x14ac:dyDescent="0.2">
      <c r="B42" s="22">
        <v>2</v>
      </c>
      <c r="C42" s="40" t="s">
        <v>162</v>
      </c>
      <c r="D42" s="233"/>
      <c r="E42" s="234"/>
      <c r="F42" s="235"/>
    </row>
    <row r="43" spans="2:6" x14ac:dyDescent="0.2">
      <c r="B43" s="28"/>
      <c r="C43" s="28" t="s">
        <v>10</v>
      </c>
      <c r="D43" s="233"/>
      <c r="E43" s="234"/>
      <c r="F43" s="235"/>
    </row>
    <row r="44" spans="2:6" x14ac:dyDescent="0.2">
      <c r="B44" s="28"/>
      <c r="C44" s="28" t="s">
        <v>144</v>
      </c>
      <c r="D44" s="233"/>
      <c r="E44" s="234"/>
      <c r="F44" s="235"/>
    </row>
    <row r="45" spans="2:6" x14ac:dyDescent="0.2">
      <c r="B45" s="28"/>
      <c r="C45" s="28" t="s">
        <v>11</v>
      </c>
      <c r="D45" s="233"/>
      <c r="E45" s="234"/>
      <c r="F45" s="235"/>
    </row>
    <row r="46" spans="2:6" ht="15" x14ac:dyDescent="0.2">
      <c r="B46" s="28"/>
      <c r="C46" s="28" t="s">
        <v>12</v>
      </c>
      <c r="D46" s="227">
        <f>D43+D44-D45</f>
        <v>0</v>
      </c>
      <c r="E46" s="228"/>
      <c r="F46" s="229"/>
    </row>
    <row r="47" spans="2:6" ht="15" x14ac:dyDescent="0.2">
      <c r="B47" s="28"/>
      <c r="C47" s="28" t="s">
        <v>183</v>
      </c>
      <c r="D47" s="227">
        <f>AVERAGE(D43,D46)</f>
        <v>0</v>
      </c>
      <c r="E47" s="228"/>
      <c r="F47" s="229"/>
    </row>
    <row r="48" spans="2:6" x14ac:dyDescent="0.2">
      <c r="B48" s="28"/>
      <c r="C48" s="28" t="s">
        <v>13</v>
      </c>
      <c r="D48" s="236"/>
      <c r="E48" s="237"/>
      <c r="F48" s="238"/>
    </row>
    <row r="49" spans="2:6" ht="15" x14ac:dyDescent="0.2">
      <c r="B49" s="28"/>
      <c r="C49" s="28" t="s">
        <v>243</v>
      </c>
      <c r="D49" s="227">
        <f>D47*D48</f>
        <v>0</v>
      </c>
      <c r="E49" s="228"/>
      <c r="F49" s="229"/>
    </row>
    <row r="50" spans="2:6" x14ac:dyDescent="0.2">
      <c r="B50" s="28"/>
      <c r="C50" s="28" t="s">
        <v>246</v>
      </c>
      <c r="D50" s="233"/>
      <c r="E50" s="234"/>
      <c r="F50" s="235"/>
    </row>
    <row r="51" spans="2:6" ht="15" x14ac:dyDescent="0.2">
      <c r="B51" s="28"/>
      <c r="C51" s="28" t="s">
        <v>247</v>
      </c>
      <c r="D51" s="227">
        <f>D49+D50</f>
        <v>0</v>
      </c>
      <c r="E51" s="228"/>
      <c r="F51" s="229"/>
    </row>
    <row r="52" spans="2:6" x14ac:dyDescent="0.2">
      <c r="B52" s="28"/>
      <c r="C52" s="28" t="s">
        <v>245</v>
      </c>
      <c r="D52" s="233"/>
      <c r="E52" s="234"/>
      <c r="F52" s="235"/>
    </row>
    <row r="53" spans="2:6" ht="15" x14ac:dyDescent="0.2">
      <c r="B53" s="22"/>
      <c r="C53" s="40" t="s">
        <v>124</v>
      </c>
      <c r="D53" s="233"/>
      <c r="E53" s="234"/>
      <c r="F53" s="235"/>
    </row>
    <row r="54" spans="2:6" ht="15" x14ac:dyDescent="0.2">
      <c r="B54" s="28"/>
      <c r="C54" s="28" t="s">
        <v>10</v>
      </c>
      <c r="D54" s="227">
        <f>D33+D43</f>
        <v>820.95</v>
      </c>
      <c r="E54" s="228"/>
      <c r="F54" s="229"/>
    </row>
    <row r="55" spans="2:6" ht="15" x14ac:dyDescent="0.2">
      <c r="B55" s="28"/>
      <c r="C55" s="28" t="s">
        <v>144</v>
      </c>
      <c r="D55" s="227">
        <f>D34+D44</f>
        <v>0</v>
      </c>
      <c r="E55" s="228"/>
      <c r="F55" s="229"/>
    </row>
    <row r="56" spans="2:6" ht="15" x14ac:dyDescent="0.2">
      <c r="B56" s="28"/>
      <c r="C56" s="28" t="s">
        <v>11</v>
      </c>
      <c r="D56" s="227">
        <f>D35+D45</f>
        <v>58.64</v>
      </c>
      <c r="E56" s="228"/>
      <c r="F56" s="229"/>
    </row>
    <row r="57" spans="2:6" ht="15" x14ac:dyDescent="0.2">
      <c r="B57" s="28"/>
      <c r="C57" s="28" t="s">
        <v>12</v>
      </c>
      <c r="D57" s="227">
        <f>D54+D55-D56</f>
        <v>762.31000000000006</v>
      </c>
      <c r="E57" s="228"/>
      <c r="F57" s="229"/>
    </row>
    <row r="58" spans="2:6" ht="15" x14ac:dyDescent="0.2">
      <c r="B58" s="28"/>
      <c r="C58" s="28" t="s">
        <v>183</v>
      </c>
      <c r="D58" s="227">
        <v>793.65</v>
      </c>
      <c r="E58" s="228"/>
      <c r="F58" s="229"/>
    </row>
    <row r="59" spans="2:6" ht="15" x14ac:dyDescent="0.2">
      <c r="B59" s="28"/>
      <c r="C59" s="28" t="s">
        <v>13</v>
      </c>
      <c r="D59" s="227">
        <v>9.9499999999999993</v>
      </c>
      <c r="E59" s="228"/>
      <c r="F59" s="229"/>
    </row>
    <row r="60" spans="2:6" ht="15" x14ac:dyDescent="0.2">
      <c r="B60" s="28"/>
      <c r="C60" s="28" t="s">
        <v>243</v>
      </c>
      <c r="D60" s="230">
        <v>78.97</v>
      </c>
      <c r="E60" s="231"/>
      <c r="F60" s="232"/>
    </row>
    <row r="61" spans="2:6" ht="15" x14ac:dyDescent="0.2">
      <c r="B61" s="28"/>
      <c r="C61" s="28" t="s">
        <v>246</v>
      </c>
      <c r="D61" s="230">
        <v>0</v>
      </c>
      <c r="E61" s="231"/>
      <c r="F61" s="232"/>
    </row>
    <row r="62" spans="2:6" ht="15" x14ac:dyDescent="0.2">
      <c r="B62" s="28"/>
      <c r="C62" s="28" t="s">
        <v>247</v>
      </c>
      <c r="D62" s="227">
        <f>D60+D61</f>
        <v>78.97</v>
      </c>
      <c r="E62" s="228"/>
      <c r="F62" s="229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F2"/>
    <mergeCell ref="B3:F3"/>
    <mergeCell ref="B4:F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1.02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view="pageBreakPreview" zoomScale="90" zoomScaleNormal="95" zoomScaleSheetLayoutView="90" workbookViewId="0">
      <selection activeCell="G33" sqref="G33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248</v>
      </c>
      <c r="C4" s="190"/>
      <c r="D4" s="190"/>
      <c r="E4" s="190"/>
      <c r="F4" s="19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4" t="s">
        <v>346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249</v>
      </c>
      <c r="D10" s="2"/>
      <c r="E10" s="118"/>
      <c r="F10" s="124"/>
    </row>
    <row r="11" spans="2:6" x14ac:dyDescent="0.2">
      <c r="B11" s="22">
        <f>B10+1</f>
        <v>2</v>
      </c>
      <c r="C11" s="28" t="s">
        <v>250</v>
      </c>
      <c r="D11" s="2"/>
      <c r="E11" s="118"/>
      <c r="F11" s="124"/>
    </row>
    <row r="12" spans="2:6" x14ac:dyDescent="0.2">
      <c r="B12" s="22">
        <f t="shared" ref="B12:B20" si="0">B11+1</f>
        <v>3</v>
      </c>
      <c r="C12" s="30" t="s">
        <v>251</v>
      </c>
      <c r="D12" s="2"/>
      <c r="E12" s="118"/>
      <c r="F12" s="124"/>
    </row>
    <row r="13" spans="2:6" x14ac:dyDescent="0.2">
      <c r="B13" s="22">
        <f t="shared" si="0"/>
        <v>4</v>
      </c>
      <c r="C13" s="69" t="s">
        <v>252</v>
      </c>
      <c r="D13" s="117">
        <f>'F2'!E14/12</f>
        <v>2.6491666666666664</v>
      </c>
      <c r="E13" s="117">
        <f>'F2'!F14/12</f>
        <v>4.3049999999999997</v>
      </c>
      <c r="F13" s="139">
        <f>'F2'!G14/12</f>
        <v>4.3049999999999997</v>
      </c>
    </row>
    <row r="14" spans="2:6" s="34" customFormat="1" ht="15" x14ac:dyDescent="0.2">
      <c r="B14" s="22">
        <f t="shared" si="0"/>
        <v>5</v>
      </c>
      <c r="C14" s="39" t="s">
        <v>253</v>
      </c>
      <c r="D14" s="70"/>
      <c r="E14" s="124">
        <f>'F1'!G11*15%</f>
        <v>7.7489999999999988</v>
      </c>
      <c r="F14" s="124">
        <f>'F1'!H11*15%</f>
        <v>7.7489999999999988</v>
      </c>
    </row>
    <row r="15" spans="2:6" x14ac:dyDescent="0.2">
      <c r="B15" s="22">
        <f t="shared" si="0"/>
        <v>6</v>
      </c>
      <c r="C15" s="69" t="s">
        <v>294</v>
      </c>
      <c r="D15" s="117">
        <f>'F1'!F22*45/365</f>
        <v>32.464109589041094</v>
      </c>
      <c r="E15" s="117">
        <f ca="1">'F1'!G22*2/12</f>
        <v>48.002278817466781</v>
      </c>
      <c r="F15" s="117">
        <f ca="1">'F1'!H22*2/12</f>
        <v>48.002278817466781</v>
      </c>
    </row>
    <row r="16" spans="2:6" x14ac:dyDescent="0.2">
      <c r="B16" s="22"/>
      <c r="C16" s="69" t="s">
        <v>254</v>
      </c>
      <c r="D16" s="70"/>
      <c r="E16" s="30"/>
      <c r="F16" s="3"/>
    </row>
    <row r="17" spans="2:6" x14ac:dyDescent="0.2">
      <c r="B17" s="22">
        <f>B15+1</f>
        <v>7</v>
      </c>
      <c r="C17" s="28" t="s">
        <v>295</v>
      </c>
      <c r="D17" s="117"/>
      <c r="E17" s="117"/>
      <c r="F17" s="117"/>
    </row>
    <row r="18" spans="2:6" ht="15" x14ac:dyDescent="0.2">
      <c r="B18" s="22">
        <f t="shared" si="0"/>
        <v>8</v>
      </c>
      <c r="C18" s="28" t="s">
        <v>41</v>
      </c>
      <c r="D18" s="113">
        <f>SUM(D10:D15)-D17</f>
        <v>35.11327625570776</v>
      </c>
      <c r="E18" s="113">
        <f t="shared" ref="E18:F18" ca="1" si="1">SUM(E10:E15)-E17</f>
        <v>60.056278817466776</v>
      </c>
      <c r="F18" s="113">
        <f t="shared" ca="1" si="1"/>
        <v>60.056278817466776</v>
      </c>
    </row>
    <row r="19" spans="2:6" x14ac:dyDescent="0.2">
      <c r="B19" s="22">
        <f t="shared" si="0"/>
        <v>9</v>
      </c>
      <c r="C19" s="28" t="s">
        <v>255</v>
      </c>
      <c r="D19" s="115"/>
      <c r="E19" s="115">
        <v>0.1008</v>
      </c>
      <c r="F19" s="115">
        <v>0.1008</v>
      </c>
    </row>
    <row r="20" spans="2:6" ht="15" x14ac:dyDescent="0.2">
      <c r="B20" s="22">
        <f t="shared" si="0"/>
        <v>10</v>
      </c>
      <c r="C20" s="69" t="s">
        <v>256</v>
      </c>
      <c r="D20" s="113">
        <v>4.72</v>
      </c>
      <c r="E20" s="113">
        <f t="shared" ref="E20:F20" ca="1" si="2">E18*E19</f>
        <v>6.053672904800651</v>
      </c>
      <c r="F20" s="113">
        <f t="shared" ca="1" si="2"/>
        <v>6.053672904800651</v>
      </c>
    </row>
    <row r="21" spans="2:6" x14ac:dyDescent="0.2">
      <c r="D21" s="157"/>
    </row>
    <row r="22" spans="2:6" x14ac:dyDescent="0.2">
      <c r="B22" s="5" t="s">
        <v>206</v>
      </c>
    </row>
    <row r="23" spans="2:6" ht="39" customHeight="1" x14ac:dyDescent="0.2">
      <c r="B23" s="221" t="s">
        <v>345</v>
      </c>
      <c r="C23" s="221"/>
      <c r="D23" s="221"/>
      <c r="E23" s="221"/>
      <c r="F23" s="221"/>
    </row>
  </sheetData>
  <mergeCells count="7">
    <mergeCell ref="B23:F23"/>
    <mergeCell ref="B7:B9"/>
    <mergeCell ref="C7:C9"/>
    <mergeCell ref="D7:F7"/>
    <mergeCell ref="B2:F2"/>
    <mergeCell ref="B3:F3"/>
    <mergeCell ref="B4:F4"/>
  </mergeCells>
  <pageMargins left="1.27" right="0.25" top="1" bottom="1" header="0.25" footer="0.25"/>
  <pageSetup paperSize="9" scale="11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G33" sqref="G33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257</v>
      </c>
      <c r="C4" s="190"/>
      <c r="D4" s="190"/>
      <c r="E4" s="190"/>
      <c r="F4" s="19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4" t="s">
        <v>346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191</v>
      </c>
      <c r="D10" s="127"/>
      <c r="E10" s="41">
        <f>'F4'!F22*0.3</f>
        <v>489.47399999999993</v>
      </c>
      <c r="F10" s="41">
        <f>E10</f>
        <v>489.47399999999993</v>
      </c>
    </row>
    <row r="11" spans="2:6" x14ac:dyDescent="0.2">
      <c r="B11" s="22">
        <f>B10+1</f>
        <v>2</v>
      </c>
      <c r="C11" s="28" t="s">
        <v>192</v>
      </c>
      <c r="D11" s="127"/>
      <c r="E11" s="124">
        <f>F3.1!H12</f>
        <v>4.2300000000000004</v>
      </c>
      <c r="F11" s="124">
        <f>E11</f>
        <v>4.2300000000000004</v>
      </c>
    </row>
    <row r="12" spans="2:6" x14ac:dyDescent="0.2">
      <c r="B12" s="22">
        <f t="shared" ref="B12:B22" si="0">B11+1</f>
        <v>3</v>
      </c>
      <c r="C12" s="30" t="s">
        <v>16</v>
      </c>
      <c r="D12" s="129">
        <f>D11*25%</f>
        <v>0</v>
      </c>
      <c r="E12" s="129">
        <f>E11*30%</f>
        <v>1.2690000000000001</v>
      </c>
      <c r="F12" s="129">
        <f>E12</f>
        <v>1.2690000000000001</v>
      </c>
    </row>
    <row r="13" spans="2:6" ht="28.5" x14ac:dyDescent="0.2">
      <c r="B13" s="22">
        <f t="shared" si="0"/>
        <v>4</v>
      </c>
      <c r="C13" s="69" t="s">
        <v>17</v>
      </c>
      <c r="D13" s="131"/>
      <c r="E13" s="41"/>
      <c r="F13" s="127"/>
    </row>
    <row r="14" spans="2:6" s="34" customFormat="1" ht="15" x14ac:dyDescent="0.2">
      <c r="B14" s="22">
        <f t="shared" si="0"/>
        <v>5</v>
      </c>
      <c r="C14" s="39" t="s">
        <v>18</v>
      </c>
      <c r="D14" s="132">
        <f>D10+D12-D13</f>
        <v>0</v>
      </c>
      <c r="E14" s="132">
        <f t="shared" ref="E14" si="1">E10+E12-E13</f>
        <v>490.74299999999994</v>
      </c>
      <c r="F14" s="132">
        <f>F10+F12-F13</f>
        <v>490.74299999999994</v>
      </c>
    </row>
    <row r="15" spans="2:6" s="34" customFormat="1" ht="15" x14ac:dyDescent="0.2">
      <c r="B15" s="22"/>
      <c r="C15" s="71" t="s">
        <v>258</v>
      </c>
      <c r="D15" s="70"/>
      <c r="E15" s="30"/>
      <c r="F15" s="3"/>
    </row>
    <row r="16" spans="2:6" s="34" customFormat="1" ht="15" x14ac:dyDescent="0.2">
      <c r="B16" s="22">
        <f>B14+1</f>
        <v>6</v>
      </c>
      <c r="C16" s="39" t="s">
        <v>259</v>
      </c>
      <c r="D16" s="114">
        <v>0.155</v>
      </c>
      <c r="E16" s="114">
        <v>0.155</v>
      </c>
      <c r="F16" s="114">
        <v>0.155</v>
      </c>
    </row>
    <row r="17" spans="2:6" s="34" customFormat="1" ht="15" x14ac:dyDescent="0.2">
      <c r="B17" s="22">
        <f>B16+1</f>
        <v>7</v>
      </c>
      <c r="C17" s="39" t="s">
        <v>260</v>
      </c>
      <c r="D17" s="115">
        <v>0.17782000000000001</v>
      </c>
      <c r="E17" s="115">
        <v>0.25168000000000001</v>
      </c>
      <c r="F17" s="115">
        <v>0.25168000000000001</v>
      </c>
    </row>
    <row r="18" spans="2:6" s="34" customFormat="1" ht="15" x14ac:dyDescent="0.2">
      <c r="B18" s="22">
        <f>B17+1</f>
        <v>8</v>
      </c>
      <c r="C18" s="31" t="s">
        <v>258</v>
      </c>
      <c r="D18" s="116">
        <f>D16/(1-D17)</f>
        <v>0.18852319443430879</v>
      </c>
      <c r="E18" s="116">
        <f t="shared" ref="E18:F18" si="2">E16/(1-E17)</f>
        <v>0.20713063929869574</v>
      </c>
      <c r="F18" s="116">
        <f t="shared" si="2"/>
        <v>0.20713063929869574</v>
      </c>
    </row>
    <row r="19" spans="2:6" ht="15" x14ac:dyDescent="0.2">
      <c r="B19" s="22"/>
      <c r="C19" s="71" t="s">
        <v>154</v>
      </c>
      <c r="D19" s="112"/>
      <c r="E19" s="30"/>
      <c r="F19" s="3"/>
    </row>
    <row r="20" spans="2:6" ht="17.25" customHeight="1" x14ac:dyDescent="0.2">
      <c r="B20" s="22">
        <f>B18+1</f>
        <v>9</v>
      </c>
      <c r="C20" s="69" t="s">
        <v>193</v>
      </c>
      <c r="D20" s="113">
        <f>D10*D18</f>
        <v>0</v>
      </c>
      <c r="E20" s="113">
        <f t="shared" ref="E20:F20" si="3">E10*E18</f>
        <v>101.38506254008979</v>
      </c>
      <c r="F20" s="113">
        <f t="shared" si="3"/>
        <v>101.38506254008979</v>
      </c>
    </row>
    <row r="21" spans="2:6" ht="18.75" customHeight="1" x14ac:dyDescent="0.2">
      <c r="B21" s="22">
        <f t="shared" si="0"/>
        <v>10</v>
      </c>
      <c r="C21" s="69" t="s">
        <v>194</v>
      </c>
      <c r="D21" s="113">
        <f>AVERAGE(D10,D14)*D18-D20</f>
        <v>0</v>
      </c>
      <c r="E21" s="113">
        <f t="shared" ref="E21:F21" si="4">AVERAGE(E10,E14)*E18-E20</f>
        <v>0.13142439063501854</v>
      </c>
      <c r="F21" s="113">
        <f t="shared" si="4"/>
        <v>0.13142439063501854</v>
      </c>
    </row>
    <row r="22" spans="2:6" ht="15" x14ac:dyDescent="0.2">
      <c r="B22" s="22">
        <f t="shared" si="0"/>
        <v>11</v>
      </c>
      <c r="C22" s="40" t="s">
        <v>155</v>
      </c>
      <c r="D22" s="113">
        <v>93.15</v>
      </c>
      <c r="E22" s="113">
        <f>ROUND((E20+E21),2)</f>
        <v>101.52</v>
      </c>
      <c r="F22" s="113">
        <f>ROUND((F20+F21),2)</f>
        <v>101.52</v>
      </c>
    </row>
    <row r="23" spans="2:6" x14ac:dyDescent="0.2">
      <c r="C23" s="5" t="s">
        <v>206</v>
      </c>
    </row>
    <row r="24" spans="2:6" x14ac:dyDescent="0.2">
      <c r="C24" s="5" t="s">
        <v>297</v>
      </c>
    </row>
  </sheetData>
  <mergeCells count="6">
    <mergeCell ref="B7:B9"/>
    <mergeCell ref="C7:C9"/>
    <mergeCell ref="D7:F7"/>
    <mergeCell ref="B2:F2"/>
    <mergeCell ref="B3:F3"/>
    <mergeCell ref="B4:F4"/>
  </mergeCells>
  <pageMargins left="1.27" right="0.25" top="0.5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G33" sqref="G33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0" t="s">
        <v>299</v>
      </c>
      <c r="C3" s="190"/>
      <c r="D3" s="190"/>
      <c r="E3" s="190"/>
      <c r="F3" s="190"/>
    </row>
    <row r="4" spans="2:6" ht="14.25" customHeight="1" x14ac:dyDescent="0.2">
      <c r="B4" s="190" t="s">
        <v>339</v>
      </c>
      <c r="C4" s="190"/>
      <c r="D4" s="190"/>
      <c r="E4" s="190"/>
      <c r="F4" s="190"/>
    </row>
    <row r="5" spans="2:6" ht="15" x14ac:dyDescent="0.2">
      <c r="B5" s="190" t="s">
        <v>261</v>
      </c>
      <c r="C5" s="190"/>
      <c r="D5" s="190"/>
      <c r="E5" s="190"/>
      <c r="F5" s="190"/>
    </row>
    <row r="6" spans="2:6" x14ac:dyDescent="0.2">
      <c r="F6" s="184" t="s">
        <v>346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30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s="15" customFormat="1" ht="15" x14ac:dyDescent="0.2">
      <c r="B10" s="62">
        <v>1</v>
      </c>
      <c r="C10" s="158" t="s">
        <v>313</v>
      </c>
      <c r="D10" s="159"/>
      <c r="E10" s="168">
        <v>3.8811905476264633E-2</v>
      </c>
      <c r="F10" s="172">
        <v>3.8811905476264633E-2</v>
      </c>
    </row>
    <row r="11" spans="2:6" s="15" customFormat="1" ht="15" x14ac:dyDescent="0.2">
      <c r="B11" s="62">
        <f>B10+1</f>
        <v>2</v>
      </c>
      <c r="C11" s="158" t="s">
        <v>314</v>
      </c>
      <c r="D11" s="159"/>
      <c r="E11" s="168">
        <v>0</v>
      </c>
      <c r="F11" s="172">
        <v>0</v>
      </c>
    </row>
    <row r="12" spans="2:6" s="15" customFormat="1" ht="15" x14ac:dyDescent="0.2">
      <c r="B12" s="62">
        <f t="shared" ref="B12:B31" si="0">B11+1</f>
        <v>3</v>
      </c>
      <c r="C12" s="158" t="s">
        <v>315</v>
      </c>
      <c r="D12" s="159"/>
      <c r="E12" s="168">
        <v>0</v>
      </c>
      <c r="F12" s="172">
        <v>0</v>
      </c>
    </row>
    <row r="13" spans="2:6" s="15" customFormat="1" ht="15" x14ac:dyDescent="0.2">
      <c r="B13" s="62">
        <f t="shared" si="0"/>
        <v>4</v>
      </c>
      <c r="C13" s="158" t="s">
        <v>316</v>
      </c>
      <c r="D13" s="159"/>
      <c r="E13" s="168">
        <v>4.7460615999999997E-2</v>
      </c>
      <c r="F13" s="172">
        <v>4.7460615999999997E-2</v>
      </c>
    </row>
    <row r="14" spans="2:6" s="15" customFormat="1" ht="15" x14ac:dyDescent="0.2">
      <c r="B14" s="62">
        <f t="shared" si="0"/>
        <v>5</v>
      </c>
      <c r="C14" s="158" t="s">
        <v>317</v>
      </c>
      <c r="D14" s="160"/>
      <c r="E14" s="168">
        <v>0</v>
      </c>
      <c r="F14" s="172">
        <v>0</v>
      </c>
    </row>
    <row r="15" spans="2:6" s="15" customFormat="1" ht="15" x14ac:dyDescent="0.2">
      <c r="B15" s="62">
        <f t="shared" si="0"/>
        <v>6</v>
      </c>
      <c r="C15" s="158" t="s">
        <v>318</v>
      </c>
      <c r="D15" s="160"/>
      <c r="E15" s="168">
        <v>0</v>
      </c>
      <c r="F15" s="172">
        <v>0</v>
      </c>
    </row>
    <row r="16" spans="2:6" s="15" customFormat="1" ht="15" x14ac:dyDescent="0.2">
      <c r="B16" s="62">
        <f t="shared" si="0"/>
        <v>7</v>
      </c>
      <c r="C16" s="158" t="s">
        <v>319</v>
      </c>
      <c r="D16" s="160"/>
      <c r="E16" s="168">
        <v>1.2991166893244064E-2</v>
      </c>
      <c r="F16" s="172">
        <v>1.2991166893244064E-2</v>
      </c>
    </row>
    <row r="17" spans="2:6" s="15" customFormat="1" ht="15" x14ac:dyDescent="0.2">
      <c r="B17" s="62">
        <f t="shared" si="0"/>
        <v>8</v>
      </c>
      <c r="C17" s="158" t="s">
        <v>320</v>
      </c>
      <c r="D17" s="160"/>
      <c r="E17" s="168">
        <v>6.0392601838630988E-5</v>
      </c>
      <c r="F17" s="172">
        <v>6.0392601838630988E-5</v>
      </c>
    </row>
    <row r="18" spans="2:6" s="15" customFormat="1" ht="15" x14ac:dyDescent="0.2">
      <c r="B18" s="62">
        <f t="shared" si="0"/>
        <v>9</v>
      </c>
      <c r="C18" s="158" t="s">
        <v>321</v>
      </c>
      <c r="D18" s="160"/>
      <c r="E18" s="168">
        <v>2.3819321955785885E-2</v>
      </c>
      <c r="F18" s="172">
        <v>2.3819321955785885E-2</v>
      </c>
    </row>
    <row r="19" spans="2:6" s="15" customFormat="1" ht="15" x14ac:dyDescent="0.2">
      <c r="B19" s="62">
        <f t="shared" si="0"/>
        <v>10</v>
      </c>
      <c r="C19" s="158" t="s">
        <v>322</v>
      </c>
      <c r="D19" s="160"/>
      <c r="E19" s="168">
        <v>2.3341168536034022E-3</v>
      </c>
      <c r="F19" s="172">
        <v>2.3341168536034022E-3</v>
      </c>
    </row>
    <row r="20" spans="2:6" s="15" customFormat="1" ht="15" x14ac:dyDescent="0.2">
      <c r="B20" s="62">
        <f t="shared" si="0"/>
        <v>11</v>
      </c>
      <c r="C20" s="158" t="s">
        <v>323</v>
      </c>
      <c r="D20" s="160"/>
      <c r="E20" s="168">
        <v>1.4714126341889146E-2</v>
      </c>
      <c r="F20" s="172">
        <v>1.4714126341889146E-2</v>
      </c>
    </row>
    <row r="21" spans="2:6" s="15" customFormat="1" ht="15" x14ac:dyDescent="0.2">
      <c r="B21" s="62">
        <f t="shared" si="0"/>
        <v>12</v>
      </c>
      <c r="C21" s="158" t="s">
        <v>324</v>
      </c>
      <c r="D21" s="160"/>
      <c r="E21" s="168">
        <v>1.2110206664806035E-3</v>
      </c>
      <c r="F21" s="172">
        <v>1.2110206664806035E-3</v>
      </c>
    </row>
    <row r="22" spans="2:6" x14ac:dyDescent="0.2">
      <c r="B22" s="62">
        <f t="shared" si="0"/>
        <v>13</v>
      </c>
      <c r="C22" s="158" t="s">
        <v>325</v>
      </c>
      <c r="D22" s="160"/>
      <c r="E22" s="168">
        <v>9.1073690432935589E-2</v>
      </c>
      <c r="F22" s="124">
        <v>9.1073690432935589E-2</v>
      </c>
    </row>
    <row r="23" spans="2:6" x14ac:dyDescent="0.2">
      <c r="B23" s="62">
        <f t="shared" si="0"/>
        <v>14</v>
      </c>
      <c r="C23" s="158" t="s">
        <v>326</v>
      </c>
      <c r="D23" s="160"/>
      <c r="E23" s="168">
        <v>0</v>
      </c>
      <c r="F23" s="124">
        <v>0</v>
      </c>
    </row>
    <row r="24" spans="2:6" x14ac:dyDescent="0.2">
      <c r="B24" s="62">
        <f t="shared" si="0"/>
        <v>15</v>
      </c>
      <c r="C24" s="158" t="s">
        <v>327</v>
      </c>
      <c r="D24" s="160"/>
      <c r="E24" s="168">
        <v>0</v>
      </c>
      <c r="F24" s="124">
        <v>0</v>
      </c>
    </row>
    <row r="25" spans="2:6" x14ac:dyDescent="0.2">
      <c r="B25" s="62">
        <f t="shared" si="0"/>
        <v>16</v>
      </c>
      <c r="C25" s="158" t="s">
        <v>328</v>
      </c>
      <c r="D25" s="160"/>
      <c r="E25" s="168">
        <v>1.317769854343542E-2</v>
      </c>
      <c r="F25" s="124">
        <v>1.317769854343542E-2</v>
      </c>
    </row>
    <row r="26" spans="2:6" ht="15.75" customHeight="1" x14ac:dyDescent="0.2">
      <c r="B26" s="62">
        <f t="shared" si="0"/>
        <v>17</v>
      </c>
      <c r="C26" s="158" t="s">
        <v>329</v>
      </c>
      <c r="D26" s="161">
        <f>SUM(D10:D21)</f>
        <v>0</v>
      </c>
      <c r="E26" s="168">
        <v>2.2720183896038092E-2</v>
      </c>
      <c r="F26" s="129">
        <v>2.2720183896038092E-2</v>
      </c>
    </row>
    <row r="27" spans="2:6" s="34" customFormat="1" ht="15" x14ac:dyDescent="0.2">
      <c r="B27" s="62">
        <f t="shared" si="0"/>
        <v>18</v>
      </c>
      <c r="C27" s="158" t="s">
        <v>330</v>
      </c>
      <c r="D27" s="161"/>
      <c r="E27" s="168">
        <v>1.20459652812686E-3</v>
      </c>
      <c r="F27" s="129">
        <v>1.20459652812686E-3</v>
      </c>
    </row>
    <row r="28" spans="2:6" s="34" customFormat="1" ht="15" x14ac:dyDescent="0.2">
      <c r="B28" s="62">
        <f t="shared" si="0"/>
        <v>19</v>
      </c>
      <c r="C28" s="158" t="s">
        <v>331</v>
      </c>
      <c r="D28" s="161"/>
      <c r="E28" s="168">
        <v>1.8548941024723758E-3</v>
      </c>
      <c r="F28" s="129">
        <v>1.8548941024723758E-3</v>
      </c>
    </row>
    <row r="29" spans="2:6" s="34" customFormat="1" ht="12.75" customHeight="1" x14ac:dyDescent="0.2">
      <c r="B29" s="62">
        <f t="shared" si="0"/>
        <v>20</v>
      </c>
      <c r="C29" s="158" t="s">
        <v>332</v>
      </c>
      <c r="D29" s="161"/>
      <c r="E29" s="168">
        <v>5.8502803588445177E-3</v>
      </c>
      <c r="F29" s="129">
        <v>5.8502803588445177E-3</v>
      </c>
    </row>
    <row r="30" spans="2:6" s="34" customFormat="1" ht="15" x14ac:dyDescent="0.2">
      <c r="B30" s="62">
        <f t="shared" si="0"/>
        <v>21</v>
      </c>
      <c r="C30" s="158" t="s">
        <v>333</v>
      </c>
      <c r="D30" s="161"/>
      <c r="E30" s="168">
        <v>1.7944538846553569E-3</v>
      </c>
      <c r="F30" s="129">
        <v>1.7944538846553569E-3</v>
      </c>
    </row>
    <row r="31" spans="2:6" s="34" customFormat="1" ht="15" x14ac:dyDescent="0.2">
      <c r="B31" s="62">
        <f t="shared" si="0"/>
        <v>22</v>
      </c>
      <c r="C31" s="158" t="s">
        <v>334</v>
      </c>
      <c r="D31" s="161"/>
      <c r="E31" s="168">
        <v>0</v>
      </c>
      <c r="F31" s="3"/>
    </row>
    <row r="32" spans="2:6" x14ac:dyDescent="0.2">
      <c r="B32" s="22"/>
      <c r="C32" s="69"/>
      <c r="D32" s="70"/>
      <c r="E32" s="30"/>
      <c r="F32" s="3"/>
    </row>
    <row r="33" spans="2:6" x14ac:dyDescent="0.2">
      <c r="B33" s="22"/>
      <c r="C33" s="69"/>
      <c r="D33" s="70"/>
      <c r="E33" s="30"/>
      <c r="F33" s="3"/>
    </row>
    <row r="34" spans="2:6" ht="15" x14ac:dyDescent="0.2">
      <c r="B34" s="22"/>
      <c r="C34" s="32" t="s">
        <v>124</v>
      </c>
      <c r="D34" s="113">
        <f>ROUND(SUM(D10:D33),2)</f>
        <v>0</v>
      </c>
      <c r="E34" s="113">
        <f t="shared" ref="E34:F34" si="1">ROUND(SUM(E10:E33),2)</f>
        <v>0.28000000000000003</v>
      </c>
      <c r="F34" s="113">
        <f t="shared" si="1"/>
        <v>0.28000000000000003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52" right="0.25" top="0.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BreakPreview" zoomScale="87" zoomScaleNormal="93" zoomScaleSheetLayoutView="87" workbookViewId="0">
      <selection activeCell="G33" sqref="G33"/>
    </sheetView>
  </sheetViews>
  <sheetFormatPr defaultColWidth="9.28515625" defaultRowHeight="14.25" x14ac:dyDescent="0.2"/>
  <cols>
    <col min="1" max="1" width="3.28515625" style="5" customWidth="1"/>
    <col min="2" max="2" width="17.28515625" style="5" customWidth="1"/>
    <col min="3" max="3" width="33.7109375" style="5" customWidth="1"/>
    <col min="4" max="4" width="28.7109375" style="5" customWidth="1"/>
    <col min="5" max="16384" width="9.28515625" style="5"/>
  </cols>
  <sheetData>
    <row r="2" spans="2:4" ht="15" x14ac:dyDescent="0.2">
      <c r="B2" s="190" t="s">
        <v>299</v>
      </c>
      <c r="C2" s="190"/>
      <c r="D2" s="190"/>
    </row>
    <row r="3" spans="2:4" ht="15" x14ac:dyDescent="0.2">
      <c r="B3" s="190" t="s">
        <v>339</v>
      </c>
      <c r="C3" s="190"/>
      <c r="D3" s="190"/>
    </row>
    <row r="4" spans="2:4" ht="14.25" customHeight="1" x14ac:dyDescent="0.2">
      <c r="B4" s="190" t="s">
        <v>263</v>
      </c>
      <c r="C4" s="190"/>
      <c r="D4" s="190"/>
    </row>
    <row r="5" spans="2:4" ht="15" x14ac:dyDescent="0.2">
      <c r="B5" s="26"/>
      <c r="C5" s="73"/>
      <c r="D5" s="74"/>
    </row>
    <row r="6" spans="2:4" ht="15" customHeight="1" x14ac:dyDescent="0.2">
      <c r="B6" s="205" t="s">
        <v>2</v>
      </c>
      <c r="C6" s="210" t="s">
        <v>15</v>
      </c>
      <c r="D6" s="68" t="s">
        <v>300</v>
      </c>
    </row>
    <row r="7" spans="2:4" ht="15" x14ac:dyDescent="0.2">
      <c r="B7" s="205"/>
      <c r="C7" s="210"/>
      <c r="D7" s="17" t="s">
        <v>262</v>
      </c>
    </row>
    <row r="8" spans="2:4" ht="24.75" customHeight="1" x14ac:dyDescent="0.2">
      <c r="B8" s="222"/>
      <c r="C8" s="223"/>
      <c r="D8" s="17" t="s">
        <v>3</v>
      </c>
    </row>
    <row r="9" spans="2:4" ht="15" x14ac:dyDescent="0.2">
      <c r="B9" s="75">
        <v>1</v>
      </c>
      <c r="C9" s="76" t="s">
        <v>141</v>
      </c>
      <c r="D9" s="72"/>
    </row>
    <row r="10" spans="2:4" s="34" customFormat="1" ht="15" x14ac:dyDescent="0.2">
      <c r="B10" s="77" t="s">
        <v>42</v>
      </c>
      <c r="C10" s="40" t="s">
        <v>43</v>
      </c>
      <c r="D10" s="78"/>
    </row>
    <row r="11" spans="2:4" s="34" customFormat="1" ht="15" x14ac:dyDescent="0.2">
      <c r="B11" s="79"/>
      <c r="C11" s="30" t="s">
        <v>44</v>
      </c>
      <c r="D11" s="78"/>
    </row>
    <row r="12" spans="2:4" s="34" customFormat="1" ht="15" x14ac:dyDescent="0.2">
      <c r="B12" s="79"/>
      <c r="C12" s="30" t="s">
        <v>45</v>
      </c>
      <c r="D12" s="78"/>
    </row>
    <row r="13" spans="2:4" s="34" customFormat="1" ht="15" x14ac:dyDescent="0.2">
      <c r="B13" s="79"/>
      <c r="C13" s="30" t="s">
        <v>46</v>
      </c>
      <c r="D13" s="78"/>
    </row>
    <row r="14" spans="2:4" s="34" customFormat="1" ht="28.5" x14ac:dyDescent="0.2">
      <c r="B14" s="79"/>
      <c r="C14" s="80"/>
      <c r="D14" s="185" t="s">
        <v>343</v>
      </c>
    </row>
    <row r="15" spans="2:4" s="34" customFormat="1" ht="15" x14ac:dyDescent="0.2">
      <c r="B15" s="77" t="s">
        <v>47</v>
      </c>
      <c r="C15" s="81" t="s">
        <v>48</v>
      </c>
      <c r="D15" s="78"/>
    </row>
    <row r="16" spans="2:4" s="34" customFormat="1" ht="15" x14ac:dyDescent="0.2">
      <c r="B16" s="79"/>
      <c r="C16" s="30" t="s">
        <v>44</v>
      </c>
      <c r="D16" s="78"/>
    </row>
    <row r="17" spans="2:4" x14ac:dyDescent="0.2">
      <c r="B17" s="79"/>
      <c r="C17" s="30" t="s">
        <v>45</v>
      </c>
      <c r="D17" s="78"/>
    </row>
    <row r="18" spans="2:4" x14ac:dyDescent="0.2">
      <c r="B18" s="82"/>
      <c r="C18" s="30" t="s">
        <v>49</v>
      </c>
      <c r="D18" s="78"/>
    </row>
    <row r="19" spans="2:4" ht="15" x14ac:dyDescent="0.2">
      <c r="B19" s="82"/>
      <c r="C19" s="81"/>
      <c r="D19" s="78"/>
    </row>
    <row r="20" spans="2:4" ht="17.25" customHeight="1" x14ac:dyDescent="0.2">
      <c r="B20" s="77">
        <v>2</v>
      </c>
      <c r="C20" s="76" t="s">
        <v>142</v>
      </c>
      <c r="D20" s="78"/>
    </row>
    <row r="21" spans="2:4" ht="17.25" customHeight="1" x14ac:dyDescent="0.2">
      <c r="B21" s="77"/>
      <c r="C21" s="76" t="s">
        <v>50</v>
      </c>
      <c r="D21" s="78"/>
    </row>
    <row r="22" spans="2:4" ht="17.25" customHeight="1" x14ac:dyDescent="0.2">
      <c r="B22" s="77"/>
      <c r="C22" s="76" t="s">
        <v>50</v>
      </c>
      <c r="D22" s="78"/>
    </row>
    <row r="23" spans="2:4" ht="15" x14ac:dyDescent="0.2">
      <c r="B23" s="79"/>
      <c r="C23" s="81" t="s">
        <v>51</v>
      </c>
      <c r="D23" s="78"/>
    </row>
    <row r="25" spans="2:4" ht="15" x14ac:dyDescent="0.2">
      <c r="B25" s="83" t="s">
        <v>40</v>
      </c>
      <c r="C25" s="84"/>
      <c r="D25" s="84"/>
    </row>
    <row r="26" spans="2:4" x14ac:dyDescent="0.2">
      <c r="B26" s="5" t="s">
        <v>179</v>
      </c>
      <c r="D26" s="85"/>
    </row>
    <row r="27" spans="2:4" ht="18" customHeight="1" x14ac:dyDescent="0.2">
      <c r="B27" s="84"/>
    </row>
    <row r="28" spans="2:4" x14ac:dyDescent="0.2">
      <c r="B28" s="84"/>
      <c r="C28" s="84"/>
      <c r="D28" s="84"/>
    </row>
    <row r="29" spans="2:4" x14ac:dyDescent="0.2">
      <c r="B29" s="84"/>
      <c r="C29" s="84"/>
      <c r="D29" s="84"/>
    </row>
    <row r="30" spans="2:4" x14ac:dyDescent="0.2">
      <c r="B30" s="84"/>
      <c r="C30" s="84"/>
      <c r="D30" s="84"/>
    </row>
    <row r="31" spans="2:4" x14ac:dyDescent="0.2">
      <c r="B31" s="84"/>
      <c r="C31" s="84"/>
      <c r="D31" s="84"/>
    </row>
  </sheetData>
  <mergeCells count="5">
    <mergeCell ref="B2:D2"/>
    <mergeCell ref="B6:B8"/>
    <mergeCell ref="C6:C8"/>
    <mergeCell ref="B4:D4"/>
    <mergeCell ref="B3:D3"/>
  </mergeCells>
  <pageMargins left="1.75" right="0.75" top="0.75" bottom="1" header="0.5" footer="0.5"/>
  <pageSetup paperSize="9" scale="11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G33" sqref="G33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2"/>
    </row>
    <row r="2" spans="2:15" ht="14.25" customHeight="1" x14ac:dyDescent="0.2">
      <c r="B2" s="190" t="s">
        <v>299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2:15" ht="14.25" customHeight="1" x14ac:dyDescent="0.2">
      <c r="B3" s="190" t="s">
        <v>339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2:15" ht="15" x14ac:dyDescent="0.2">
      <c r="B4" s="190" t="s">
        <v>268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2:15" ht="15" x14ac:dyDescent="0.2">
      <c r="B5" s="26" t="s">
        <v>300</v>
      </c>
      <c r="C5" s="73"/>
      <c r="D5" s="73"/>
      <c r="E5" s="73"/>
      <c r="F5" s="73"/>
      <c r="G5" s="73"/>
      <c r="H5" s="73"/>
      <c r="I5" s="37"/>
    </row>
    <row r="6" spans="2:15" ht="15" x14ac:dyDescent="0.2">
      <c r="B6" s="26" t="s">
        <v>9</v>
      </c>
      <c r="C6" s="27"/>
      <c r="D6" s="27"/>
      <c r="O6" s="27" t="s">
        <v>125</v>
      </c>
    </row>
    <row r="7" spans="2:15" s="34" customFormat="1" ht="15" customHeight="1" x14ac:dyDescent="0.2">
      <c r="B7" s="32" t="s">
        <v>269</v>
      </c>
      <c r="C7" s="32" t="s">
        <v>126</v>
      </c>
      <c r="D7" s="32" t="s">
        <v>127</v>
      </c>
      <c r="E7" s="93" t="s">
        <v>128</v>
      </c>
      <c r="F7" s="93" t="s">
        <v>129</v>
      </c>
      <c r="G7" s="93" t="s">
        <v>130</v>
      </c>
      <c r="H7" s="93" t="s">
        <v>131</v>
      </c>
      <c r="I7" s="93" t="s">
        <v>132</v>
      </c>
      <c r="J7" s="93" t="s">
        <v>133</v>
      </c>
      <c r="K7" s="93" t="s">
        <v>134</v>
      </c>
      <c r="L7" s="93" t="s">
        <v>135</v>
      </c>
      <c r="M7" s="93" t="s">
        <v>136</v>
      </c>
      <c r="N7" s="93" t="s">
        <v>137</v>
      </c>
      <c r="O7" s="93" t="s">
        <v>124</v>
      </c>
    </row>
    <row r="8" spans="2:15" s="34" customFormat="1" ht="15" x14ac:dyDescent="0.2">
      <c r="B8" s="71" t="s">
        <v>335</v>
      </c>
      <c r="C8" s="182">
        <f>-0.163447*0.7055</f>
        <v>-0.1153118585</v>
      </c>
      <c r="D8" s="182">
        <f>0.161974*0.7055</f>
        <v>0.11427265700000001</v>
      </c>
      <c r="E8" s="182">
        <f>-0.02*0.7055</f>
        <v>-1.4110000000000001E-2</v>
      </c>
      <c r="F8" s="182">
        <f>23.5*0.7055</f>
        <v>16.579250000000002</v>
      </c>
      <c r="G8" s="182">
        <f>48.93*0.7055</f>
        <v>34.520115000000004</v>
      </c>
      <c r="H8" s="182">
        <f>29.6*0.7055</f>
        <v>20.882800000000003</v>
      </c>
      <c r="I8" s="182">
        <f>4.55*0.7055</f>
        <v>3.2100249999999999</v>
      </c>
      <c r="J8" s="182">
        <f>0.47353*0.7055</f>
        <v>0.33407541499999999</v>
      </c>
      <c r="K8" s="182">
        <f>0.1*0.7055</f>
        <v>7.0550000000000002E-2</v>
      </c>
      <c r="L8" s="182">
        <f>0.005161*0.7055</f>
        <v>3.6410854999999998E-3</v>
      </c>
      <c r="M8" s="182">
        <f>-0.138749*0.7055</f>
        <v>-9.7887419500000017E-2</v>
      </c>
      <c r="N8" s="182">
        <f>-0.179082*0.7055</f>
        <v>-0.12634235099999999</v>
      </c>
      <c r="O8" s="162">
        <f>SUM(C8:N8)</f>
        <v>75.361077528500005</v>
      </c>
    </row>
    <row r="9" spans="2:15" s="34" customFormat="1" ht="15" x14ac:dyDescent="0.2">
      <c r="B9" s="71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62"/>
    </row>
    <row r="10" spans="2:15" s="34" customFormat="1" ht="15" x14ac:dyDescent="0.2">
      <c r="B10" s="71" t="s">
        <v>336</v>
      </c>
      <c r="C10" s="182">
        <f>-0.163447*0.2945</f>
        <v>-4.8135141499999999E-2</v>
      </c>
      <c r="D10" s="182">
        <f>0.161974*0.2945</f>
        <v>4.7701343E-2</v>
      </c>
      <c r="E10" s="182">
        <f>-0.02*0.2945</f>
        <v>-5.8899999999999994E-3</v>
      </c>
      <c r="F10" s="182">
        <f>23.5*0.2945</f>
        <v>6.92075</v>
      </c>
      <c r="G10" s="182">
        <f>48.93*0.2945</f>
        <v>14.409884999999999</v>
      </c>
      <c r="H10" s="182">
        <f>29.6*0.2945</f>
        <v>8.7172000000000001</v>
      </c>
      <c r="I10" s="182">
        <f>4.55*0.2945</f>
        <v>1.3399749999999999</v>
      </c>
      <c r="J10" s="182">
        <f>0.47353*0.2945</f>
        <v>0.13945458499999999</v>
      </c>
      <c r="K10" s="182">
        <f>0.1*0.2945</f>
        <v>2.945E-2</v>
      </c>
      <c r="L10" s="182">
        <f>0.005161*0.2945</f>
        <v>1.5199144999999998E-3</v>
      </c>
      <c r="M10" s="182">
        <f>-0.138749*0.2945</f>
        <v>-4.0861580500000001E-2</v>
      </c>
      <c r="N10" s="182">
        <f>-0.179082*0.2945</f>
        <v>-5.2739648999999993E-2</v>
      </c>
      <c r="O10" s="162">
        <f>SUM(C10:N10)</f>
        <v>31.458309471500002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124</v>
      </c>
      <c r="C12" s="111">
        <f>C8+C10</f>
        <v>-0.16344700000000001</v>
      </c>
      <c r="D12" s="111">
        <f t="shared" ref="D12:O12" si="0">D8+D10</f>
        <v>0.16197400000000001</v>
      </c>
      <c r="E12" s="111">
        <f t="shared" si="0"/>
        <v>-0.02</v>
      </c>
      <c r="F12" s="111">
        <f t="shared" si="0"/>
        <v>23.5</v>
      </c>
      <c r="G12" s="111">
        <f t="shared" si="0"/>
        <v>48.930000000000007</v>
      </c>
      <c r="H12" s="111">
        <f t="shared" si="0"/>
        <v>29.6</v>
      </c>
      <c r="I12" s="111">
        <f t="shared" si="0"/>
        <v>4.55</v>
      </c>
      <c r="J12" s="111">
        <f t="shared" si="0"/>
        <v>0.47353000000000001</v>
      </c>
      <c r="K12" s="111">
        <f t="shared" si="0"/>
        <v>0.1</v>
      </c>
      <c r="L12" s="111">
        <f t="shared" si="0"/>
        <v>5.1609999999999998E-3</v>
      </c>
      <c r="M12" s="111">
        <f t="shared" si="0"/>
        <v>-0.13874900000000001</v>
      </c>
      <c r="N12" s="111">
        <f>N8+N10</f>
        <v>-0.17908199999999999</v>
      </c>
      <c r="O12" s="111">
        <f t="shared" si="0"/>
        <v>106.81938700000001</v>
      </c>
    </row>
    <row r="13" spans="2:15" ht="16.5" x14ac:dyDescent="0.2">
      <c r="B13" s="26"/>
      <c r="C13" s="73"/>
      <c r="D13" s="73"/>
      <c r="E13" s="73"/>
      <c r="F13" s="73"/>
      <c r="G13" s="73"/>
      <c r="H13" s="73"/>
      <c r="I13" s="86"/>
    </row>
  </sheetData>
  <mergeCells count="3">
    <mergeCell ref="B2:O2"/>
    <mergeCell ref="B3:O3"/>
    <mergeCell ref="B4:O4"/>
  </mergeCells>
  <pageMargins left="0.13" right="0.33" top="0.25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2"/>
  <sheetViews>
    <sheetView showGridLines="0" view="pageBreakPreview" topLeftCell="A2" zoomScale="91" zoomScaleNormal="93" zoomScaleSheetLayoutView="91" workbookViewId="0">
      <selection activeCell="G33" sqref="G33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2"/>
    </row>
    <row r="2" spans="2:17" s="5" customFormat="1" ht="15" customHeight="1" x14ac:dyDescent="0.2"/>
    <row r="3" spans="2:17" s="5" customFormat="1" ht="15" customHeight="1" x14ac:dyDescent="0.2">
      <c r="B3" s="190" t="s">
        <v>299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</row>
    <row r="4" spans="2:17" s="5" customFormat="1" ht="15" customHeight="1" x14ac:dyDescent="0.2">
      <c r="B4" s="190" t="s">
        <v>339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</row>
    <row r="5" spans="2:17" s="5" customFormat="1" ht="15" customHeight="1" x14ac:dyDescent="0.2">
      <c r="B5" s="190" t="s">
        <v>272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</row>
    <row r="6" spans="2:17" ht="15" x14ac:dyDescent="0.2">
      <c r="B6" s="26" t="s">
        <v>300</v>
      </c>
      <c r="I6" s="37"/>
    </row>
    <row r="7" spans="2:17" ht="15" x14ac:dyDescent="0.2">
      <c r="B7" s="38" t="s">
        <v>9</v>
      </c>
    </row>
    <row r="8" spans="2:17" ht="30" x14ac:dyDescent="0.2">
      <c r="B8" s="94" t="s">
        <v>164</v>
      </c>
      <c r="C8" s="94" t="s">
        <v>15</v>
      </c>
      <c r="D8" s="94" t="s">
        <v>36</v>
      </c>
      <c r="E8" s="32" t="s">
        <v>126</v>
      </c>
      <c r="F8" s="32" t="s">
        <v>127</v>
      </c>
      <c r="G8" s="93" t="s">
        <v>128</v>
      </c>
      <c r="H8" s="93" t="s">
        <v>129</v>
      </c>
      <c r="I8" s="93" t="s">
        <v>130</v>
      </c>
      <c r="J8" s="93" t="s">
        <v>131</v>
      </c>
      <c r="K8" s="93" t="s">
        <v>132</v>
      </c>
      <c r="L8" s="93" t="s">
        <v>133</v>
      </c>
      <c r="M8" s="93" t="s">
        <v>134</v>
      </c>
      <c r="N8" s="93" t="s">
        <v>135</v>
      </c>
      <c r="O8" s="93" t="s">
        <v>136</v>
      </c>
      <c r="P8" s="93" t="s">
        <v>137</v>
      </c>
      <c r="Q8" s="95" t="s">
        <v>124</v>
      </c>
    </row>
    <row r="9" spans="2:17" ht="16.5" x14ac:dyDescent="0.2">
      <c r="B9" s="96">
        <v>1</v>
      </c>
      <c r="C9" s="97" t="s">
        <v>147</v>
      </c>
      <c r="D9" s="96" t="s">
        <v>37</v>
      </c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</row>
    <row r="10" spans="2:17" ht="16.5" x14ac:dyDescent="0.2">
      <c r="B10" s="96">
        <f>B9+1</f>
        <v>2</v>
      </c>
      <c r="C10" s="97" t="s">
        <v>165</v>
      </c>
      <c r="D10" s="96" t="s">
        <v>37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</row>
    <row r="11" spans="2:17" ht="16.5" x14ac:dyDescent="0.2">
      <c r="B11" s="96">
        <f t="shared" ref="B11:B27" si="0">B10+1</f>
        <v>3</v>
      </c>
      <c r="C11" s="97" t="s">
        <v>166</v>
      </c>
      <c r="D11" s="96" t="s">
        <v>37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</row>
    <row r="12" spans="2:17" ht="16.5" x14ac:dyDescent="0.2">
      <c r="B12" s="96">
        <f t="shared" si="0"/>
        <v>4</v>
      </c>
      <c r="C12" s="97" t="s">
        <v>38</v>
      </c>
      <c r="D12" s="96" t="s">
        <v>37</v>
      </c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3" spans="2:17" ht="16.5" x14ac:dyDescent="0.2">
      <c r="B13" s="96">
        <f t="shared" si="0"/>
        <v>5</v>
      </c>
      <c r="C13" s="97" t="s">
        <v>167</v>
      </c>
      <c r="D13" s="96" t="s">
        <v>37</v>
      </c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</row>
    <row r="14" spans="2:17" ht="16.5" x14ac:dyDescent="0.2">
      <c r="B14" s="96">
        <f t="shared" si="0"/>
        <v>6</v>
      </c>
      <c r="C14" s="97" t="s">
        <v>168</v>
      </c>
      <c r="D14" s="96" t="s">
        <v>37</v>
      </c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</row>
    <row r="15" spans="2:17" ht="15" x14ac:dyDescent="0.2">
      <c r="B15" s="96">
        <f t="shared" si="0"/>
        <v>7</v>
      </c>
      <c r="C15" s="91" t="s">
        <v>169</v>
      </c>
      <c r="D15" s="100" t="s">
        <v>39</v>
      </c>
      <c r="E15" s="109">
        <v>0</v>
      </c>
      <c r="F15" s="109">
        <v>0.38</v>
      </c>
      <c r="G15" s="109">
        <v>0.19</v>
      </c>
      <c r="H15" s="109">
        <v>24.29</v>
      </c>
      <c r="I15" s="109">
        <v>50.33</v>
      </c>
      <c r="J15" s="109">
        <v>30.5</v>
      </c>
      <c r="K15" s="109">
        <v>4.84</v>
      </c>
      <c r="L15" s="109">
        <v>0.66</v>
      </c>
      <c r="M15" s="109">
        <v>0.28000000000000003</v>
      </c>
      <c r="N15" s="109">
        <v>0.16</v>
      </c>
      <c r="O15" s="109">
        <v>0</v>
      </c>
      <c r="P15" s="109">
        <v>0</v>
      </c>
      <c r="Q15" s="109">
        <v>111.63</v>
      </c>
    </row>
    <row r="16" spans="2:17" ht="15" x14ac:dyDescent="0.2">
      <c r="B16" s="96">
        <f t="shared" si="0"/>
        <v>8</v>
      </c>
      <c r="C16" s="91" t="s">
        <v>170</v>
      </c>
      <c r="D16" s="100" t="s">
        <v>39</v>
      </c>
      <c r="E16" s="109">
        <v>0.16</v>
      </c>
      <c r="F16" s="109">
        <v>0.22</v>
      </c>
      <c r="G16" s="109">
        <v>0.22</v>
      </c>
      <c r="H16" s="109">
        <v>0.79</v>
      </c>
      <c r="I16" s="109">
        <v>1.4</v>
      </c>
      <c r="J16" s="109">
        <v>0.9</v>
      </c>
      <c r="K16" s="109">
        <v>0.28999999999999998</v>
      </c>
      <c r="L16" s="109">
        <v>0.19</v>
      </c>
      <c r="M16" s="109">
        <v>0.18</v>
      </c>
      <c r="N16" s="109">
        <v>0.16</v>
      </c>
      <c r="O16" s="109">
        <v>0.14000000000000001</v>
      </c>
      <c r="P16" s="109">
        <v>0.18</v>
      </c>
      <c r="Q16" s="109">
        <v>4.8299999999999992</v>
      </c>
    </row>
    <row r="17" spans="2:17" ht="15" x14ac:dyDescent="0.2">
      <c r="B17" s="96">
        <f t="shared" si="0"/>
        <v>9</v>
      </c>
      <c r="C17" s="91" t="s">
        <v>184</v>
      </c>
      <c r="D17" s="100" t="s">
        <v>39</v>
      </c>
      <c r="E17" s="109">
        <v>-0.16</v>
      </c>
      <c r="F17" s="109">
        <v>0.16</v>
      </c>
      <c r="G17" s="109">
        <v>-0.03</v>
      </c>
      <c r="H17" s="109">
        <v>23.5</v>
      </c>
      <c r="I17" s="109">
        <v>48.93</v>
      </c>
      <c r="J17" s="109">
        <v>29.6</v>
      </c>
      <c r="K17" s="109">
        <v>4.55</v>
      </c>
      <c r="L17" s="109">
        <v>0.47000000000000003</v>
      </c>
      <c r="M17" s="109">
        <v>0.10000000000000003</v>
      </c>
      <c r="N17" s="109">
        <v>0</v>
      </c>
      <c r="O17" s="109">
        <v>-0.14000000000000001</v>
      </c>
      <c r="P17" s="109">
        <v>-0.18</v>
      </c>
      <c r="Q17" s="109">
        <v>106.8</v>
      </c>
    </row>
    <row r="18" spans="2:17" x14ac:dyDescent="0.2">
      <c r="B18" s="96">
        <f t="shared" si="0"/>
        <v>10</v>
      </c>
      <c r="C18" s="91" t="s">
        <v>185</v>
      </c>
      <c r="D18" s="100" t="s">
        <v>39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9"/>
    </row>
    <row r="19" spans="2:17" x14ac:dyDescent="0.2">
      <c r="B19" s="96">
        <f t="shared" si="0"/>
        <v>11</v>
      </c>
      <c r="C19" s="91" t="s">
        <v>171</v>
      </c>
      <c r="D19" s="100" t="s">
        <v>175</v>
      </c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01"/>
    </row>
    <row r="20" spans="2:17" ht="15" x14ac:dyDescent="0.2">
      <c r="B20" s="96">
        <f t="shared" si="0"/>
        <v>12</v>
      </c>
      <c r="C20" s="91" t="s">
        <v>186</v>
      </c>
      <c r="D20" s="100" t="s">
        <v>176</v>
      </c>
      <c r="E20" s="109">
        <v>21.943000000000001</v>
      </c>
      <c r="F20" s="109">
        <v>21.943000000000001</v>
      </c>
      <c r="G20" s="109">
        <v>21.943000000000001</v>
      </c>
      <c r="H20" s="109">
        <v>21.943000000000001</v>
      </c>
      <c r="I20" s="109">
        <v>21.943000000000001</v>
      </c>
      <c r="J20" s="109">
        <v>21.943000000000001</v>
      </c>
      <c r="K20" s="109">
        <v>21.943000000000001</v>
      </c>
      <c r="L20" s="109">
        <v>21.943000000000001</v>
      </c>
      <c r="M20" s="109">
        <v>21.943000000000001</v>
      </c>
      <c r="N20" s="109">
        <v>21.943000000000001</v>
      </c>
      <c r="O20" s="109">
        <v>21.943000000000001</v>
      </c>
      <c r="P20" s="109">
        <v>21.943000000000001</v>
      </c>
      <c r="Q20" s="109">
        <v>263.31600000000009</v>
      </c>
    </row>
    <row r="21" spans="2:17" ht="15" x14ac:dyDescent="0.2">
      <c r="B21" s="96">
        <f t="shared" si="0"/>
        <v>13</v>
      </c>
      <c r="C21" s="91" t="s">
        <v>270</v>
      </c>
      <c r="D21" s="100" t="s">
        <v>175</v>
      </c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</row>
    <row r="22" spans="2:17" ht="15" x14ac:dyDescent="0.2">
      <c r="B22" s="96">
        <f t="shared" si="0"/>
        <v>14</v>
      </c>
      <c r="C22" s="91" t="s">
        <v>172</v>
      </c>
      <c r="D22" s="100" t="s">
        <v>176</v>
      </c>
      <c r="E22" s="109">
        <v>21.943333299999999</v>
      </c>
      <c r="F22" s="109">
        <v>21.943333299999999</v>
      </c>
      <c r="G22" s="109">
        <v>21.943333299999999</v>
      </c>
      <c r="H22" s="109">
        <v>21.943333299999999</v>
      </c>
      <c r="I22" s="109">
        <v>21.943333299999999</v>
      </c>
      <c r="J22" s="109">
        <v>21.943333299999999</v>
      </c>
      <c r="K22" s="109">
        <v>21.943333299999999</v>
      </c>
      <c r="L22" s="109">
        <v>21.943333299999999</v>
      </c>
      <c r="M22" s="109">
        <v>21.943333299999999</v>
      </c>
      <c r="N22" s="109">
        <v>21.943333299999999</v>
      </c>
      <c r="O22" s="109">
        <v>21.943333299999999</v>
      </c>
      <c r="P22" s="109">
        <v>21.943333299999999</v>
      </c>
      <c r="Q22" s="109">
        <v>263.31999960000002</v>
      </c>
    </row>
    <row r="23" spans="2:17" ht="15" x14ac:dyDescent="0.2">
      <c r="B23" s="96">
        <f t="shared" si="0"/>
        <v>15</v>
      </c>
      <c r="C23" s="91" t="s">
        <v>271</v>
      </c>
      <c r="D23" s="100" t="s">
        <v>176</v>
      </c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</row>
    <row r="24" spans="2:17" ht="15" x14ac:dyDescent="0.2">
      <c r="B24" s="96">
        <f t="shared" si="0"/>
        <v>16</v>
      </c>
      <c r="C24" s="91" t="s">
        <v>187</v>
      </c>
      <c r="D24" s="100" t="s">
        <v>176</v>
      </c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</row>
    <row r="25" spans="2:17" ht="15" x14ac:dyDescent="0.2">
      <c r="B25" s="96">
        <f t="shared" si="0"/>
        <v>17</v>
      </c>
      <c r="C25" s="91" t="s">
        <v>173</v>
      </c>
      <c r="D25" s="100" t="s">
        <v>176</v>
      </c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</row>
    <row r="26" spans="2:17" ht="15" x14ac:dyDescent="0.2">
      <c r="B26" s="96">
        <f t="shared" si="0"/>
        <v>18</v>
      </c>
      <c r="C26" s="103" t="s">
        <v>138</v>
      </c>
      <c r="D26" s="100" t="s">
        <v>176</v>
      </c>
      <c r="E26" s="109">
        <v>21.943333299999999</v>
      </c>
      <c r="F26" s="109">
        <v>21.943333299999999</v>
      </c>
      <c r="G26" s="109">
        <v>21.943333299999999</v>
      </c>
      <c r="H26" s="109">
        <v>21.943333299999999</v>
      </c>
      <c r="I26" s="109">
        <v>21.943333299999999</v>
      </c>
      <c r="J26" s="109">
        <v>21.943333299999999</v>
      </c>
      <c r="K26" s="109">
        <v>21.943333299999999</v>
      </c>
      <c r="L26" s="109">
        <v>21.943333299999999</v>
      </c>
      <c r="M26" s="109">
        <v>21.943333299999999</v>
      </c>
      <c r="N26" s="109">
        <v>21.943333299999999</v>
      </c>
      <c r="O26" s="109">
        <v>21.943333299999999</v>
      </c>
      <c r="P26" s="109">
        <v>21.943333299999999</v>
      </c>
      <c r="Q26" s="109">
        <v>263.31999960000002</v>
      </c>
    </row>
    <row r="27" spans="2:17" ht="15" x14ac:dyDescent="0.2">
      <c r="B27" s="96">
        <f t="shared" si="0"/>
        <v>19</v>
      </c>
      <c r="C27" s="105" t="s">
        <v>174</v>
      </c>
      <c r="D27" s="100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</row>
    <row r="28" spans="2:17" ht="33" x14ac:dyDescent="0.2">
      <c r="B28" s="165" t="s">
        <v>337</v>
      </c>
      <c r="C28" s="170" t="s">
        <v>340</v>
      </c>
      <c r="D28" s="167" t="s">
        <v>176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>
        <v>0</v>
      </c>
    </row>
    <row r="29" spans="2:17" ht="33" x14ac:dyDescent="0.2">
      <c r="B29" s="165" t="s">
        <v>337</v>
      </c>
      <c r="C29" s="170" t="s">
        <v>341</v>
      </c>
      <c r="D29" s="167" t="s">
        <v>176</v>
      </c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</row>
    <row r="30" spans="2:17" ht="16.5" x14ac:dyDescent="0.2">
      <c r="B30" s="165" t="s">
        <v>337</v>
      </c>
      <c r="C30" s="166" t="s">
        <v>90</v>
      </c>
      <c r="D30" s="167" t="s">
        <v>176</v>
      </c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>
        <v>0</v>
      </c>
    </row>
    <row r="31" spans="2:17" ht="15" x14ac:dyDescent="0.2">
      <c r="B31" s="100">
        <f>B27+1</f>
        <v>20</v>
      </c>
      <c r="C31" s="90" t="s">
        <v>146</v>
      </c>
      <c r="D31" s="100" t="s">
        <v>176</v>
      </c>
      <c r="E31" s="109">
        <v>21.943333299999999</v>
      </c>
      <c r="F31" s="109">
        <v>21.943333299999999</v>
      </c>
      <c r="G31" s="109">
        <v>21.943333299999999</v>
      </c>
      <c r="H31" s="109">
        <v>21.943333299999999</v>
      </c>
      <c r="I31" s="109">
        <v>21.943333299999999</v>
      </c>
      <c r="J31" s="109">
        <v>21.943333299999999</v>
      </c>
      <c r="K31" s="109">
        <v>21.943333299999999</v>
      </c>
      <c r="L31" s="109">
        <v>21.943333299999999</v>
      </c>
      <c r="M31" s="109">
        <v>21.943333299999999</v>
      </c>
      <c r="N31" s="109">
        <v>21.943333299999999</v>
      </c>
      <c r="O31" s="109">
        <v>21.943333299999999</v>
      </c>
      <c r="P31" s="109">
        <v>21.943333299999999</v>
      </c>
      <c r="Q31" s="109">
        <v>263.31999960000002</v>
      </c>
    </row>
    <row r="32" spans="2:17" ht="15" x14ac:dyDescent="0.2">
      <c r="B32" s="100">
        <f>B31+1</f>
        <v>21</v>
      </c>
      <c r="C32" s="90" t="s">
        <v>177</v>
      </c>
      <c r="D32" s="100" t="s">
        <v>176</v>
      </c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6"/>
    </row>
  </sheetData>
  <mergeCells count="3">
    <mergeCell ref="B3:Q3"/>
    <mergeCell ref="B4:Q4"/>
    <mergeCell ref="B5:Q5"/>
  </mergeCells>
  <pageMargins left="0.2" right="0.2" top="0.5" bottom="0.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zoomScale="95" zoomScaleNormal="93" zoomScaleSheetLayoutView="95" workbookViewId="0">
      <selection activeCell="G33" sqref="G33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0" t="s">
        <v>299</v>
      </c>
      <c r="C2" s="190"/>
      <c r="D2" s="190"/>
      <c r="E2" s="190"/>
      <c r="F2" s="190"/>
      <c r="G2" s="190"/>
      <c r="H2" s="190"/>
      <c r="I2" s="190"/>
    </row>
    <row r="3" spans="2:9" ht="14.25" customHeight="1" x14ac:dyDescent="0.2">
      <c r="B3" s="190" t="s">
        <v>339</v>
      </c>
      <c r="C3" s="190"/>
      <c r="D3" s="190"/>
      <c r="E3" s="190"/>
      <c r="F3" s="190"/>
      <c r="G3" s="190"/>
      <c r="H3" s="190"/>
      <c r="I3" s="190"/>
    </row>
    <row r="4" spans="2:9" s="4" customFormat="1" ht="14.25" customHeight="1" x14ac:dyDescent="0.2">
      <c r="B4" s="186" t="s">
        <v>302</v>
      </c>
      <c r="C4" s="186"/>
      <c r="D4" s="186"/>
      <c r="E4" s="186"/>
      <c r="F4" s="186"/>
      <c r="G4" s="186"/>
      <c r="H4" s="186"/>
      <c r="I4" s="186"/>
    </row>
    <row r="6" spans="2:9" x14ac:dyDescent="0.2">
      <c r="I6" s="184" t="s">
        <v>344</v>
      </c>
    </row>
    <row r="7" spans="2:9" ht="12.75" customHeight="1" x14ac:dyDescent="0.2">
      <c r="B7" s="194" t="s">
        <v>164</v>
      </c>
      <c r="C7" s="197" t="s">
        <v>15</v>
      </c>
      <c r="D7" s="191" t="s">
        <v>36</v>
      </c>
      <c r="E7" s="197" t="s">
        <v>1</v>
      </c>
      <c r="F7" s="201" t="s">
        <v>300</v>
      </c>
      <c r="G7" s="202"/>
      <c r="H7" s="203"/>
      <c r="I7" s="199" t="s">
        <v>8</v>
      </c>
    </row>
    <row r="8" spans="2:9" ht="30" customHeight="1" x14ac:dyDescent="0.2">
      <c r="B8" s="195"/>
      <c r="C8" s="197"/>
      <c r="D8" s="192"/>
      <c r="E8" s="197"/>
      <c r="F8" s="17" t="s">
        <v>273</v>
      </c>
      <c r="G8" s="17" t="s">
        <v>196</v>
      </c>
      <c r="H8" s="17" t="s">
        <v>178</v>
      </c>
      <c r="I8" s="199"/>
    </row>
    <row r="9" spans="2:9" ht="15" x14ac:dyDescent="0.2">
      <c r="B9" s="196"/>
      <c r="C9" s="198"/>
      <c r="D9" s="193"/>
      <c r="E9" s="198"/>
      <c r="F9" s="17" t="s">
        <v>7</v>
      </c>
      <c r="G9" s="17" t="s">
        <v>9</v>
      </c>
      <c r="H9" s="17" t="s">
        <v>197</v>
      </c>
      <c r="I9" s="200"/>
    </row>
    <row r="10" spans="2:9" ht="15" x14ac:dyDescent="0.2">
      <c r="B10" s="24" t="s">
        <v>52</v>
      </c>
      <c r="C10" s="25" t="s">
        <v>200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33</v>
      </c>
      <c r="D11" s="2" t="s">
        <v>176</v>
      </c>
      <c r="E11" s="19" t="s">
        <v>233</v>
      </c>
      <c r="F11" s="120">
        <f>'F2'!E14</f>
        <v>31.79</v>
      </c>
      <c r="G11" s="120">
        <f>'F2'!F14</f>
        <v>51.66</v>
      </c>
      <c r="H11" s="120">
        <f>'F2'!G14</f>
        <v>51.66</v>
      </c>
      <c r="I11" s="125"/>
    </row>
    <row r="12" spans="2:9" ht="15" x14ac:dyDescent="0.2">
      <c r="B12" s="2">
        <f t="shared" ref="B12:B17" si="0">B11+1</f>
        <v>2</v>
      </c>
      <c r="C12" s="20" t="s">
        <v>143</v>
      </c>
      <c r="D12" s="2" t="s">
        <v>176</v>
      </c>
      <c r="E12" s="19" t="s">
        <v>20</v>
      </c>
      <c r="F12" s="126">
        <v>79.59</v>
      </c>
      <c r="G12" s="126">
        <f>H12</f>
        <v>72.5</v>
      </c>
      <c r="H12" s="120">
        <f>'F4'!K22-'F4'!L22</f>
        <v>72.5</v>
      </c>
      <c r="I12" s="125"/>
    </row>
    <row r="13" spans="2:9" ht="15" x14ac:dyDescent="0.2">
      <c r="B13" s="2">
        <f t="shared" si="0"/>
        <v>3</v>
      </c>
      <c r="C13" s="3" t="s">
        <v>198</v>
      </c>
      <c r="D13" s="2" t="s">
        <v>176</v>
      </c>
      <c r="E13" s="18" t="s">
        <v>26</v>
      </c>
      <c r="F13" s="120">
        <f>'F5'!D22</f>
        <v>54.07</v>
      </c>
      <c r="G13" s="120">
        <f>'F5'!E22</f>
        <v>56.56</v>
      </c>
      <c r="H13" s="120">
        <f>'F5'!F22</f>
        <v>56.56</v>
      </c>
      <c r="I13" s="125"/>
    </row>
    <row r="14" spans="2:9" ht="15" x14ac:dyDescent="0.2">
      <c r="B14" s="2">
        <f t="shared" si="0"/>
        <v>4</v>
      </c>
      <c r="C14" s="20" t="s">
        <v>34</v>
      </c>
      <c r="D14" s="2" t="s">
        <v>176</v>
      </c>
      <c r="E14" s="18" t="s">
        <v>27</v>
      </c>
      <c r="F14" s="120">
        <f>'F6'!D20</f>
        <v>4.72</v>
      </c>
      <c r="G14" s="120">
        <f ca="1">'F6'!E20</f>
        <v>6.053672904800651</v>
      </c>
      <c r="H14" s="120">
        <f ca="1">'F6'!F20</f>
        <v>6.053672904800651</v>
      </c>
      <c r="I14" s="125"/>
    </row>
    <row r="15" spans="2:9" ht="15" x14ac:dyDescent="0.2">
      <c r="B15" s="2">
        <f t="shared" si="0"/>
        <v>5</v>
      </c>
      <c r="C15" s="3" t="s">
        <v>199</v>
      </c>
      <c r="D15" s="2" t="s">
        <v>176</v>
      </c>
      <c r="E15" s="18" t="s">
        <v>28</v>
      </c>
      <c r="F15" s="120">
        <f>'F7'!D22</f>
        <v>93.15</v>
      </c>
      <c r="G15" s="120">
        <f>'F7'!E22</f>
        <v>101.52</v>
      </c>
      <c r="H15" s="120">
        <f>'F7'!F22</f>
        <v>101.52</v>
      </c>
      <c r="I15" s="125"/>
    </row>
    <row r="16" spans="2:9" ht="15" x14ac:dyDescent="0.2">
      <c r="B16" s="2">
        <f t="shared" si="0"/>
        <v>6</v>
      </c>
      <c r="C16" s="3" t="s">
        <v>35</v>
      </c>
      <c r="D16" s="2" t="s">
        <v>176</v>
      </c>
      <c r="E16" s="18" t="s">
        <v>29</v>
      </c>
      <c r="F16" s="120">
        <f>'F8'!D34</f>
        <v>0</v>
      </c>
      <c r="G16" s="120">
        <f>'F8'!E34</f>
        <v>0.28000000000000003</v>
      </c>
      <c r="H16" s="120">
        <f>G16</f>
        <v>0.28000000000000003</v>
      </c>
      <c r="I16" s="125"/>
    </row>
    <row r="17" spans="2:9" ht="15" x14ac:dyDescent="0.2">
      <c r="B17" s="16">
        <f t="shared" si="0"/>
        <v>7</v>
      </c>
      <c r="C17" s="21" t="s">
        <v>200</v>
      </c>
      <c r="D17" s="16" t="s">
        <v>176</v>
      </c>
      <c r="E17" s="18"/>
      <c r="F17" s="120">
        <f>SUM(F11:F16)</f>
        <v>263.32</v>
      </c>
      <c r="G17" s="120">
        <f t="shared" ref="G17:H17" ca="1" si="1">SUM(G11:G15)-G16</f>
        <v>288.01367290480067</v>
      </c>
      <c r="H17" s="120">
        <f t="shared" ca="1" si="1"/>
        <v>288.01367290480067</v>
      </c>
      <c r="I17" s="125"/>
    </row>
    <row r="18" spans="2:9" ht="15" x14ac:dyDescent="0.2">
      <c r="B18" s="16" t="s">
        <v>56</v>
      </c>
      <c r="C18" s="16" t="s">
        <v>201</v>
      </c>
      <c r="D18" s="18"/>
      <c r="E18" s="18"/>
      <c r="F18" s="18"/>
      <c r="G18" s="3"/>
      <c r="H18" s="121"/>
      <c r="I18" s="3"/>
    </row>
    <row r="19" spans="2:9" ht="15" x14ac:dyDescent="0.2">
      <c r="B19" s="2">
        <v>1</v>
      </c>
      <c r="C19" s="18" t="s">
        <v>202</v>
      </c>
      <c r="D19" s="2" t="s">
        <v>175</v>
      </c>
      <c r="E19" s="18" t="s">
        <v>140</v>
      </c>
      <c r="F19" s="137"/>
      <c r="G19" s="137"/>
      <c r="H19" s="137"/>
      <c r="I19" s="3"/>
    </row>
    <row r="20" spans="2:9" ht="15" x14ac:dyDescent="0.2">
      <c r="B20" s="2">
        <f>B19+1</f>
        <v>2</v>
      </c>
      <c r="C20" s="18" t="s">
        <v>203</v>
      </c>
      <c r="D20" s="2" t="s">
        <v>39</v>
      </c>
      <c r="E20" s="18" t="s">
        <v>31</v>
      </c>
      <c r="F20" s="120"/>
      <c r="G20" s="120"/>
      <c r="H20" s="120"/>
      <c r="I20" s="3"/>
    </row>
    <row r="21" spans="2:9" ht="15" x14ac:dyDescent="0.2">
      <c r="B21" s="2">
        <f>B20+1</f>
        <v>3</v>
      </c>
      <c r="C21" s="18" t="s">
        <v>201</v>
      </c>
      <c r="D21" s="2" t="s">
        <v>176</v>
      </c>
      <c r="E21" s="18"/>
      <c r="F21" s="120"/>
      <c r="G21" s="120"/>
      <c r="H21" s="120"/>
      <c r="I21" s="3"/>
    </row>
    <row r="22" spans="2:9" ht="15" x14ac:dyDescent="0.2">
      <c r="B22" s="16" t="s">
        <v>57</v>
      </c>
      <c r="C22" s="16" t="s">
        <v>293</v>
      </c>
      <c r="D22" s="2" t="s">
        <v>176</v>
      </c>
      <c r="E22" s="3"/>
      <c r="F22" s="169">
        <f>F17+F21</f>
        <v>263.32</v>
      </c>
      <c r="G22" s="120">
        <f t="shared" ref="G22:H22" ca="1" si="2">G17+G21</f>
        <v>288.01367290480067</v>
      </c>
      <c r="H22" s="120">
        <f t="shared" ca="1" si="2"/>
        <v>288.01367290480067</v>
      </c>
      <c r="I22" s="3"/>
    </row>
    <row r="23" spans="2:9" x14ac:dyDescent="0.2">
      <c r="F23" s="138"/>
    </row>
  </sheetData>
  <mergeCells count="9">
    <mergeCell ref="B3:I3"/>
    <mergeCell ref="B2:I2"/>
    <mergeCell ref="B4:I4"/>
    <mergeCell ref="D7:D9"/>
    <mergeCell ref="B7:B9"/>
    <mergeCell ref="C7:C9"/>
    <mergeCell ref="E7:E9"/>
    <mergeCell ref="I7:I9"/>
    <mergeCell ref="F7:H7"/>
  </mergeCells>
  <pageMargins left="0.98" right="0.23" top="0.92" bottom="1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zoomScale="80" zoomScaleNormal="95" zoomScaleSheetLayoutView="80" workbookViewId="0">
      <selection activeCell="G33" sqref="G33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0" t="s">
        <v>299</v>
      </c>
      <c r="C2" s="190"/>
      <c r="D2" s="190"/>
      <c r="E2" s="190"/>
      <c r="F2" s="190"/>
      <c r="G2" s="190"/>
    </row>
    <row r="3" spans="2:7" ht="15" x14ac:dyDescent="0.2">
      <c r="B3" s="190" t="s">
        <v>339</v>
      </c>
      <c r="C3" s="190"/>
      <c r="D3" s="190"/>
      <c r="E3" s="190"/>
      <c r="F3" s="190"/>
      <c r="G3" s="190"/>
    </row>
    <row r="4" spans="2:7" ht="15" x14ac:dyDescent="0.2">
      <c r="B4" s="190" t="s">
        <v>280</v>
      </c>
      <c r="C4" s="190"/>
      <c r="D4" s="190"/>
      <c r="E4" s="190"/>
      <c r="F4" s="190"/>
      <c r="G4" s="190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4" t="s">
        <v>53</v>
      </c>
      <c r="C6" s="204"/>
      <c r="D6" s="204"/>
      <c r="E6" s="204"/>
      <c r="F6" s="204"/>
      <c r="G6" s="204"/>
    </row>
    <row r="7" spans="2:7" x14ac:dyDescent="0.2">
      <c r="G7" s="184" t="s">
        <v>344</v>
      </c>
    </row>
    <row r="8" spans="2:7" ht="15" customHeight="1" x14ac:dyDescent="0.2">
      <c r="B8" s="205" t="s">
        <v>164</v>
      </c>
      <c r="C8" s="205" t="s">
        <v>15</v>
      </c>
      <c r="D8" s="206" t="s">
        <v>1</v>
      </c>
      <c r="E8" s="201" t="s">
        <v>300</v>
      </c>
      <c r="F8" s="202"/>
      <c r="G8" s="203"/>
    </row>
    <row r="9" spans="2:7" ht="30" x14ac:dyDescent="0.2">
      <c r="B9" s="205"/>
      <c r="C9" s="205"/>
      <c r="D9" s="207"/>
      <c r="E9" s="17" t="s">
        <v>273</v>
      </c>
      <c r="F9" s="17" t="s">
        <v>204</v>
      </c>
      <c r="G9" s="17" t="s">
        <v>178</v>
      </c>
    </row>
    <row r="10" spans="2:7" ht="15" x14ac:dyDescent="0.2">
      <c r="B10" s="205"/>
      <c r="C10" s="205"/>
      <c r="D10" s="208"/>
      <c r="E10" s="17" t="s">
        <v>7</v>
      </c>
      <c r="F10" s="17" t="s">
        <v>9</v>
      </c>
      <c r="G10" s="17" t="s">
        <v>197</v>
      </c>
    </row>
    <row r="11" spans="2:7" x14ac:dyDescent="0.2">
      <c r="B11" s="22">
        <v>1</v>
      </c>
      <c r="C11" s="30" t="s">
        <v>54</v>
      </c>
      <c r="D11" s="30" t="s">
        <v>21</v>
      </c>
      <c r="E11" s="124">
        <v>27.42</v>
      </c>
      <c r="F11" s="140">
        <f>F2.1!D36</f>
        <v>46.933503415032973</v>
      </c>
      <c r="G11" s="140">
        <f>F11</f>
        <v>46.933503415032973</v>
      </c>
    </row>
    <row r="12" spans="2:7" x14ac:dyDescent="0.2">
      <c r="B12" s="22">
        <f>B11+1</f>
        <v>2</v>
      </c>
      <c r="C12" s="39" t="s">
        <v>205</v>
      </c>
      <c r="D12" s="39" t="s">
        <v>22</v>
      </c>
      <c r="E12" s="130">
        <v>1.78</v>
      </c>
      <c r="F12" s="141">
        <f>F2.2!D40</f>
        <v>2.22783207174253</v>
      </c>
      <c r="G12" s="140">
        <f t="shared" ref="G12:G13" si="0">F12</f>
        <v>2.22783207174253</v>
      </c>
    </row>
    <row r="13" spans="2:7" x14ac:dyDescent="0.2">
      <c r="B13" s="22">
        <f>B12+1</f>
        <v>3</v>
      </c>
      <c r="C13" s="30" t="s">
        <v>180</v>
      </c>
      <c r="D13" s="30" t="s">
        <v>234</v>
      </c>
      <c r="E13" s="124">
        <v>2.92</v>
      </c>
      <c r="F13" s="140">
        <f>F2.3!D18</f>
        <v>2.5017517966201996</v>
      </c>
      <c r="G13" s="140">
        <f t="shared" si="0"/>
        <v>2.5017517966201996</v>
      </c>
    </row>
    <row r="14" spans="2:7" ht="15" x14ac:dyDescent="0.2">
      <c r="B14" s="22">
        <f>B13+1</f>
        <v>4</v>
      </c>
      <c r="C14" s="30" t="s">
        <v>55</v>
      </c>
      <c r="D14" s="30"/>
      <c r="E14" s="142">
        <v>31.79</v>
      </c>
      <c r="F14" s="142">
        <f>ROUND(SUM(F11:F13),2)</f>
        <v>51.66</v>
      </c>
      <c r="G14" s="142">
        <f>ROUND(SUM(G11:G13),2)</f>
        <v>51.66</v>
      </c>
    </row>
    <row r="15" spans="2:7" x14ac:dyDescent="0.2">
      <c r="B15" s="51" t="s">
        <v>206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207</v>
      </c>
    </row>
  </sheetData>
  <mergeCells count="8">
    <mergeCell ref="B2:G2"/>
    <mergeCell ref="B3:G3"/>
    <mergeCell ref="B4:G4"/>
    <mergeCell ref="B6:G6"/>
    <mergeCell ref="B8:B10"/>
    <mergeCell ref="C8:C10"/>
    <mergeCell ref="E8:G8"/>
    <mergeCell ref="D8:D10"/>
  </mergeCells>
  <pageMargins left="0.45866141700000002" right="0.70866141732283505" top="0.74803149606299202" bottom="0.74803149606299202" header="0.31496062992126" footer="0.31496062992126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zoomScale="124" zoomScaleNormal="95" zoomScaleSheetLayoutView="124" workbookViewId="0">
      <selection activeCell="G33" sqref="G33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s="4" customFormat="1" ht="14.25" customHeight="1" x14ac:dyDescent="0.2">
      <c r="B4" s="190" t="s">
        <v>235</v>
      </c>
      <c r="C4" s="190"/>
      <c r="D4" s="190"/>
    </row>
    <row r="5" spans="2:4" s="4" customFormat="1" ht="15" x14ac:dyDescent="0.25">
      <c r="C5" s="42"/>
      <c r="D5" s="43"/>
    </row>
    <row r="6" spans="2:4" x14ac:dyDescent="0.2">
      <c r="D6" s="184" t="s">
        <v>344</v>
      </c>
    </row>
    <row r="7" spans="2:4" ht="12.75" customHeight="1" x14ac:dyDescent="0.2">
      <c r="B7" s="197" t="s">
        <v>2</v>
      </c>
      <c r="C7" s="197" t="s">
        <v>15</v>
      </c>
      <c r="D7" s="17" t="s">
        <v>300</v>
      </c>
    </row>
    <row r="8" spans="2:4" ht="15" x14ac:dyDescent="0.2">
      <c r="B8" s="197"/>
      <c r="C8" s="197"/>
      <c r="D8" s="17" t="s">
        <v>204</v>
      </c>
    </row>
    <row r="9" spans="2:4" ht="15" x14ac:dyDescent="0.2">
      <c r="B9" s="209"/>
      <c r="C9" s="197"/>
      <c r="D9" s="17" t="s">
        <v>9</v>
      </c>
    </row>
    <row r="10" spans="2:4" x14ac:dyDescent="0.2">
      <c r="B10" s="2">
        <v>1</v>
      </c>
      <c r="C10" s="44" t="s">
        <v>58</v>
      </c>
      <c r="D10" s="121">
        <v>21.108165159358606</v>
      </c>
    </row>
    <row r="11" spans="2:4" x14ac:dyDescent="0.2">
      <c r="B11" s="2">
        <v>2</v>
      </c>
      <c r="C11" s="44" t="s">
        <v>59</v>
      </c>
      <c r="D11" s="121">
        <v>1.6563819002260032</v>
      </c>
    </row>
    <row r="12" spans="2:4" x14ac:dyDescent="0.2">
      <c r="B12" s="2">
        <v>3</v>
      </c>
      <c r="C12" s="3" t="s">
        <v>60</v>
      </c>
      <c r="D12" s="121">
        <v>1.1919470089143271</v>
      </c>
    </row>
    <row r="13" spans="2:4" x14ac:dyDescent="0.2">
      <c r="B13" s="2">
        <v>4</v>
      </c>
      <c r="C13" s="44" t="s">
        <v>61</v>
      </c>
      <c r="D13" s="121">
        <v>0.13955350247808107</v>
      </c>
    </row>
    <row r="14" spans="2:4" x14ac:dyDescent="0.2">
      <c r="B14" s="2">
        <v>5</v>
      </c>
      <c r="C14" s="44" t="s">
        <v>62</v>
      </c>
      <c r="D14" s="121">
        <v>1.7204553094247571E-4</v>
      </c>
    </row>
    <row r="15" spans="2:4" x14ac:dyDescent="0.2">
      <c r="B15" s="2">
        <v>6</v>
      </c>
      <c r="C15" s="3" t="s">
        <v>63</v>
      </c>
      <c r="D15" s="121">
        <v>4.9000000000000004</v>
      </c>
    </row>
    <row r="16" spans="2:4" x14ac:dyDescent="0.2">
      <c r="B16" s="2">
        <v>7</v>
      </c>
      <c r="C16" s="44" t="s">
        <v>64</v>
      </c>
      <c r="D16" s="121">
        <v>3.1143906917467348</v>
      </c>
    </row>
    <row r="17" spans="2:4" x14ac:dyDescent="0.2">
      <c r="B17" s="2">
        <v>8</v>
      </c>
      <c r="C17" s="44" t="s">
        <v>65</v>
      </c>
      <c r="D17" s="121">
        <v>0.78718245095793682</v>
      </c>
    </row>
    <row r="18" spans="2:4" x14ac:dyDescent="0.2">
      <c r="B18" s="2">
        <v>9</v>
      </c>
      <c r="C18" s="44" t="s">
        <v>66</v>
      </c>
      <c r="D18" s="121">
        <v>0</v>
      </c>
    </row>
    <row r="19" spans="2:4" x14ac:dyDescent="0.2">
      <c r="B19" s="2">
        <v>10</v>
      </c>
      <c r="C19" s="44" t="s">
        <v>67</v>
      </c>
      <c r="D19" s="134">
        <v>0</v>
      </c>
    </row>
    <row r="20" spans="2:4" x14ac:dyDescent="0.2">
      <c r="B20" s="2">
        <v>11</v>
      </c>
      <c r="C20" s="44" t="s">
        <v>68</v>
      </c>
      <c r="D20" s="134">
        <v>1.6266124422151154E-3</v>
      </c>
    </row>
    <row r="21" spans="2:4" x14ac:dyDescent="0.2">
      <c r="B21" s="2">
        <v>12</v>
      </c>
      <c r="C21" s="44" t="s">
        <v>69</v>
      </c>
      <c r="D21" s="134">
        <v>0.46269236245905176</v>
      </c>
    </row>
    <row r="22" spans="2:4" x14ac:dyDescent="0.2">
      <c r="B22" s="2">
        <v>13</v>
      </c>
      <c r="C22" s="44" t="s">
        <v>70</v>
      </c>
      <c r="D22" s="134">
        <v>0</v>
      </c>
    </row>
    <row r="23" spans="2:4" x14ac:dyDescent="0.2">
      <c r="B23" s="2">
        <v>14</v>
      </c>
      <c r="C23" s="44" t="s">
        <v>71</v>
      </c>
      <c r="D23" s="134">
        <v>0</v>
      </c>
    </row>
    <row r="24" spans="2:4" x14ac:dyDescent="0.2">
      <c r="B24" s="2">
        <v>15</v>
      </c>
      <c r="C24" s="44" t="s">
        <v>72</v>
      </c>
      <c r="D24" s="121">
        <v>0</v>
      </c>
    </row>
    <row r="25" spans="2:4" x14ac:dyDescent="0.2">
      <c r="B25" s="2">
        <v>16</v>
      </c>
      <c r="C25" s="44" t="s">
        <v>73</v>
      </c>
      <c r="D25" s="135">
        <v>0</v>
      </c>
    </row>
    <row r="26" spans="2:4" ht="15" x14ac:dyDescent="0.2">
      <c r="B26" s="2">
        <v>17</v>
      </c>
      <c r="C26" s="44" t="s">
        <v>74</v>
      </c>
      <c r="D26" s="136">
        <f>SUM(D10:D25)</f>
        <v>33.362111734113896</v>
      </c>
    </row>
    <row r="27" spans="2:4" x14ac:dyDescent="0.2">
      <c r="B27" s="2">
        <v>18</v>
      </c>
      <c r="C27" s="44" t="s">
        <v>75</v>
      </c>
      <c r="D27" s="135">
        <v>0</v>
      </c>
    </row>
    <row r="28" spans="2:4" x14ac:dyDescent="0.2">
      <c r="B28" s="2">
        <f>+B27+0.1</f>
        <v>18.100000000000001</v>
      </c>
      <c r="C28" s="44" t="s">
        <v>76</v>
      </c>
      <c r="D28" s="135">
        <v>2.0613916809190793</v>
      </c>
    </row>
    <row r="29" spans="2:4" x14ac:dyDescent="0.2">
      <c r="B29" s="2">
        <f>+B28+0.1</f>
        <v>18.200000000000003</v>
      </c>
      <c r="C29" s="44" t="s">
        <v>77</v>
      </c>
      <c r="D29" s="135">
        <v>0</v>
      </c>
    </row>
    <row r="30" spans="2:4" x14ac:dyDescent="0.2">
      <c r="B30" s="2">
        <f>+B29+0.1</f>
        <v>18.300000000000004</v>
      </c>
      <c r="C30" s="44" t="s">
        <v>78</v>
      </c>
      <c r="D30" s="135">
        <v>0</v>
      </c>
    </row>
    <row r="31" spans="2:4" x14ac:dyDescent="0.2">
      <c r="B31" s="2">
        <f>+B30+0.1</f>
        <v>18.400000000000006</v>
      </c>
      <c r="C31" s="44" t="s">
        <v>79</v>
      </c>
      <c r="D31" s="121">
        <v>11.51</v>
      </c>
    </row>
    <row r="32" spans="2:4" x14ac:dyDescent="0.2">
      <c r="B32" s="2">
        <v>19</v>
      </c>
      <c r="C32" s="48" t="s">
        <v>292</v>
      </c>
      <c r="D32" s="121">
        <v>0</v>
      </c>
    </row>
    <row r="33" spans="2:4" x14ac:dyDescent="0.2">
      <c r="B33" s="2">
        <v>20</v>
      </c>
      <c r="C33" s="44" t="s">
        <v>80</v>
      </c>
      <c r="D33" s="121">
        <v>0</v>
      </c>
    </row>
    <row r="34" spans="2:4" ht="15" x14ac:dyDescent="0.25">
      <c r="B34" s="16">
        <v>21</v>
      </c>
      <c r="C34" s="45" t="s">
        <v>81</v>
      </c>
      <c r="D34" s="123">
        <f>SUM(D26:D33)</f>
        <v>46.933503415032973</v>
      </c>
    </row>
    <row r="35" spans="2:4" x14ac:dyDescent="0.2">
      <c r="B35" s="2">
        <v>22</v>
      </c>
      <c r="C35" s="44" t="s">
        <v>14</v>
      </c>
      <c r="D35" s="121">
        <v>0</v>
      </c>
    </row>
    <row r="36" spans="2:4" ht="15" x14ac:dyDescent="0.2">
      <c r="B36" s="16">
        <v>23</v>
      </c>
      <c r="C36" s="21" t="s">
        <v>82</v>
      </c>
      <c r="D36" s="110">
        <f>D34-D35</f>
        <v>46.933503415032973</v>
      </c>
    </row>
    <row r="38" spans="2:4" ht="15" x14ac:dyDescent="0.2">
      <c r="B38" s="46"/>
      <c r="D38" s="143"/>
    </row>
    <row r="39" spans="2:4" x14ac:dyDescent="0.2">
      <c r="B39" s="47"/>
    </row>
  </sheetData>
  <mergeCells count="5">
    <mergeCell ref="B7:B9"/>
    <mergeCell ref="C7:C9"/>
    <mergeCell ref="B2:D2"/>
    <mergeCell ref="B3:D3"/>
    <mergeCell ref="B4:D4"/>
  </mergeCells>
  <pageMargins left="0.5" right="0.25" top="0.25" bottom="0.25" header="0.5" footer="0.5"/>
  <pageSetup paperSize="9" scale="110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0"/>
  <sheetViews>
    <sheetView showGridLines="0" view="pageBreakPreview" zoomScale="80" zoomScaleSheetLayoutView="80" workbookViewId="0">
      <selection activeCell="G33" sqref="G33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s="4" customFormat="1" ht="15" x14ac:dyDescent="0.2">
      <c r="B4" s="190" t="s">
        <v>301</v>
      </c>
      <c r="C4" s="190"/>
      <c r="D4" s="190"/>
    </row>
    <row r="6" spans="2:4" x14ac:dyDescent="0.2">
      <c r="D6" s="184" t="s">
        <v>344</v>
      </c>
    </row>
    <row r="7" spans="2:4" ht="12.75" customHeight="1" x14ac:dyDescent="0.2">
      <c r="B7" s="199" t="s">
        <v>164</v>
      </c>
      <c r="C7" s="197" t="s">
        <v>15</v>
      </c>
      <c r="D7" s="17" t="s">
        <v>300</v>
      </c>
    </row>
    <row r="8" spans="2:4" ht="15" x14ac:dyDescent="0.2">
      <c r="B8" s="199"/>
      <c r="C8" s="197"/>
      <c r="D8" s="17" t="s">
        <v>204</v>
      </c>
    </row>
    <row r="9" spans="2:4" ht="15" customHeight="1" x14ac:dyDescent="0.2">
      <c r="B9" s="199"/>
      <c r="C9" s="197"/>
      <c r="D9" s="17" t="s">
        <v>9</v>
      </c>
    </row>
    <row r="10" spans="2:4" x14ac:dyDescent="0.2">
      <c r="B10" s="3">
        <v>1</v>
      </c>
      <c r="C10" s="54" t="s">
        <v>83</v>
      </c>
      <c r="D10" s="121">
        <v>5.6799927362480448E-2</v>
      </c>
    </row>
    <row r="11" spans="2:4" x14ac:dyDescent="0.2">
      <c r="B11" s="3">
        <v>2</v>
      </c>
      <c r="C11" s="55" t="s">
        <v>84</v>
      </c>
      <c r="D11" s="121">
        <v>4.4426492317964118E-3</v>
      </c>
    </row>
    <row r="12" spans="2:4" x14ac:dyDescent="0.2">
      <c r="B12" s="3">
        <v>3</v>
      </c>
      <c r="C12" s="55" t="s">
        <v>85</v>
      </c>
      <c r="D12" s="121">
        <v>6.7877468949698233E-2</v>
      </c>
    </row>
    <row r="13" spans="2:4" x14ac:dyDescent="0.2">
      <c r="B13" s="3">
        <v>4</v>
      </c>
      <c r="C13" s="55" t="s">
        <v>86</v>
      </c>
      <c r="D13" s="121">
        <v>4.2459168021019969E-2</v>
      </c>
    </row>
    <row r="14" spans="2:4" x14ac:dyDescent="0.2">
      <c r="B14" s="3">
        <v>5</v>
      </c>
      <c r="C14" s="55" t="s">
        <v>87</v>
      </c>
      <c r="D14" s="121">
        <v>6.2194070862232192E-3</v>
      </c>
    </row>
    <row r="15" spans="2:4" x14ac:dyDescent="0.2">
      <c r="B15" s="3">
        <v>6</v>
      </c>
      <c r="C15" s="55" t="s">
        <v>88</v>
      </c>
      <c r="D15" s="121">
        <v>3.7548008766957679E-2</v>
      </c>
    </row>
    <row r="16" spans="2:4" x14ac:dyDescent="0.2">
      <c r="B16" s="3">
        <v>7</v>
      </c>
      <c r="C16" s="55" t="s">
        <v>89</v>
      </c>
      <c r="D16" s="121">
        <v>0.39430420297961066</v>
      </c>
    </row>
    <row r="17" spans="2:4" x14ac:dyDescent="0.2">
      <c r="B17" s="3">
        <v>8</v>
      </c>
      <c r="C17" s="55" t="s">
        <v>90</v>
      </c>
      <c r="D17" s="121">
        <v>1.1652506576451831E-2</v>
      </c>
    </row>
    <row r="18" spans="2:4" x14ac:dyDescent="0.2">
      <c r="B18" s="3">
        <v>9</v>
      </c>
      <c r="C18" s="55" t="s">
        <v>91</v>
      </c>
      <c r="D18" s="121">
        <v>0.49618928515418653</v>
      </c>
    </row>
    <row r="19" spans="2:4" x14ac:dyDescent="0.2">
      <c r="B19" s="3">
        <v>10</v>
      </c>
      <c r="C19" s="55" t="s">
        <v>92</v>
      </c>
      <c r="D19" s="121">
        <v>8.6844098771676065E-3</v>
      </c>
    </row>
    <row r="20" spans="2:4" x14ac:dyDescent="0.2">
      <c r="B20" s="3">
        <v>11</v>
      </c>
      <c r="C20" s="55" t="s">
        <v>93</v>
      </c>
      <c r="D20" s="121">
        <v>4.5939232659908782E-4</v>
      </c>
    </row>
    <row r="21" spans="2:4" x14ac:dyDescent="0.2">
      <c r="B21" s="3">
        <v>12</v>
      </c>
      <c r="C21" s="55" t="s">
        <v>94</v>
      </c>
      <c r="D21" s="121">
        <v>0</v>
      </c>
    </row>
    <row r="22" spans="2:4" x14ac:dyDescent="0.2">
      <c r="B22" s="3">
        <v>13</v>
      </c>
      <c r="C22" s="55" t="s">
        <v>95</v>
      </c>
      <c r="D22" s="121">
        <v>1.1721340922491927E-2</v>
      </c>
    </row>
    <row r="23" spans="2:4" x14ac:dyDescent="0.2">
      <c r="B23" s="3">
        <v>14</v>
      </c>
      <c r="C23" s="55" t="s">
        <v>96</v>
      </c>
      <c r="D23" s="121">
        <v>1.2928624751143359E-2</v>
      </c>
    </row>
    <row r="24" spans="2:4" x14ac:dyDescent="0.2">
      <c r="B24" s="3">
        <v>15</v>
      </c>
      <c r="C24" s="55" t="s">
        <v>97</v>
      </c>
      <c r="D24" s="121">
        <v>0</v>
      </c>
    </row>
    <row r="25" spans="2:4" x14ac:dyDescent="0.2">
      <c r="B25" s="3">
        <v>16</v>
      </c>
      <c r="C25" s="54" t="s">
        <v>98</v>
      </c>
      <c r="D25" s="121">
        <v>0</v>
      </c>
    </row>
    <row r="26" spans="2:4" x14ac:dyDescent="0.2">
      <c r="B26" s="3">
        <v>17</v>
      </c>
      <c r="C26" s="54" t="s">
        <v>99</v>
      </c>
      <c r="D26" s="121">
        <v>0</v>
      </c>
    </row>
    <row r="27" spans="2:4" x14ac:dyDescent="0.2">
      <c r="B27" s="3">
        <v>18</v>
      </c>
      <c r="C27" s="55" t="s">
        <v>100</v>
      </c>
      <c r="D27" s="121">
        <v>3.4830629117105556E-2</v>
      </c>
    </row>
    <row r="28" spans="2:4" x14ac:dyDescent="0.2">
      <c r="B28" s="3">
        <v>19</v>
      </c>
      <c r="C28" s="55" t="s">
        <v>101</v>
      </c>
      <c r="D28" s="121">
        <v>0.49034257143896309</v>
      </c>
    </row>
    <row r="29" spans="2:4" x14ac:dyDescent="0.2">
      <c r="B29" s="3">
        <v>20</v>
      </c>
      <c r="C29" s="55" t="s">
        <v>102</v>
      </c>
      <c r="D29" s="121">
        <v>0</v>
      </c>
    </row>
    <row r="30" spans="2:4" x14ac:dyDescent="0.2">
      <c r="B30" s="3">
        <v>21</v>
      </c>
      <c r="C30" s="55" t="s">
        <v>103</v>
      </c>
      <c r="D30" s="121">
        <v>0</v>
      </c>
    </row>
    <row r="31" spans="2:4" x14ac:dyDescent="0.2">
      <c r="B31" s="3">
        <v>22</v>
      </c>
      <c r="C31" s="55" t="s">
        <v>104</v>
      </c>
      <c r="D31" s="121">
        <v>0</v>
      </c>
    </row>
    <row r="32" spans="2:4" x14ac:dyDescent="0.2">
      <c r="B32" s="3">
        <v>23</v>
      </c>
      <c r="C32" s="55" t="s">
        <v>105</v>
      </c>
      <c r="D32" s="121">
        <v>0</v>
      </c>
    </row>
    <row r="33" spans="2:4" x14ac:dyDescent="0.2">
      <c r="B33" s="3">
        <v>24</v>
      </c>
      <c r="C33" s="55" t="s">
        <v>106</v>
      </c>
      <c r="D33" s="121">
        <v>2.0948898773526424E-2</v>
      </c>
    </row>
    <row r="34" spans="2:4" x14ac:dyDescent="0.2">
      <c r="B34" s="3">
        <v>25</v>
      </c>
      <c r="C34" s="55" t="s">
        <v>107</v>
      </c>
      <c r="D34" s="121">
        <v>0</v>
      </c>
    </row>
    <row r="35" spans="2:4" x14ac:dyDescent="0.2">
      <c r="B35" s="3">
        <v>26</v>
      </c>
      <c r="C35" s="55" t="s">
        <v>108</v>
      </c>
      <c r="D35" s="121">
        <v>0</v>
      </c>
    </row>
    <row r="36" spans="2:4" x14ac:dyDescent="0.2">
      <c r="B36" s="3">
        <v>27</v>
      </c>
      <c r="C36" s="55" t="s">
        <v>109</v>
      </c>
      <c r="D36" s="121">
        <v>0</v>
      </c>
    </row>
    <row r="37" spans="2:4" x14ac:dyDescent="0.2">
      <c r="B37" s="3">
        <v>28</v>
      </c>
      <c r="C37" s="55" t="s">
        <v>80</v>
      </c>
      <c r="D37" s="121">
        <v>0.53042358040710769</v>
      </c>
    </row>
    <row r="38" spans="2:4" ht="15" x14ac:dyDescent="0.25">
      <c r="B38" s="3">
        <v>29</v>
      </c>
      <c r="C38" s="56" t="s">
        <v>110</v>
      </c>
      <c r="D38" s="110">
        <f>SUM(D10:D37)</f>
        <v>2.22783207174253</v>
      </c>
    </row>
    <row r="39" spans="2:4" x14ac:dyDescent="0.2">
      <c r="B39" s="3">
        <v>30</v>
      </c>
      <c r="C39" s="44" t="s">
        <v>14</v>
      </c>
      <c r="D39" s="121"/>
    </row>
    <row r="40" spans="2:4" ht="15" x14ac:dyDescent="0.2">
      <c r="B40" s="3">
        <v>31</v>
      </c>
      <c r="C40" s="21" t="s">
        <v>111</v>
      </c>
      <c r="D40" s="110">
        <f>D38-D39</f>
        <v>2.22783207174253</v>
      </c>
    </row>
  </sheetData>
  <mergeCells count="5">
    <mergeCell ref="B7:B9"/>
    <mergeCell ref="C7:C9"/>
    <mergeCell ref="B2:D2"/>
    <mergeCell ref="B3:D3"/>
    <mergeCell ref="B4:D4"/>
  </mergeCells>
  <pageMargins left="1.25" right="0.75" top="0.25" bottom="0.25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view="pageBreakPreview" zoomScale="90" zoomScaleNormal="98" zoomScaleSheetLayoutView="90" workbookViewId="0">
      <selection activeCell="G33" sqref="G33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s="4" customFormat="1" ht="14.25" customHeight="1" x14ac:dyDescent="0.2">
      <c r="B4" s="190" t="s">
        <v>236</v>
      </c>
      <c r="C4" s="190"/>
      <c r="D4" s="190"/>
    </row>
    <row r="6" spans="2:4" x14ac:dyDescent="0.2">
      <c r="D6" s="184" t="s">
        <v>344</v>
      </c>
    </row>
    <row r="7" spans="2:4" ht="12.75" customHeight="1" x14ac:dyDescent="0.2">
      <c r="B7" s="199" t="s">
        <v>164</v>
      </c>
      <c r="C7" s="197" t="s">
        <v>15</v>
      </c>
      <c r="D7" s="17" t="s">
        <v>300</v>
      </c>
    </row>
    <row r="8" spans="2:4" ht="15" x14ac:dyDescent="0.2">
      <c r="B8" s="199"/>
      <c r="C8" s="197"/>
      <c r="D8" s="17" t="s">
        <v>204</v>
      </c>
    </row>
    <row r="9" spans="2:4" ht="15" customHeight="1" x14ac:dyDescent="0.2">
      <c r="B9" s="199"/>
      <c r="C9" s="197"/>
      <c r="D9" s="17" t="s">
        <v>9</v>
      </c>
    </row>
    <row r="10" spans="2:4" x14ac:dyDescent="0.2">
      <c r="B10" s="2">
        <v>1</v>
      </c>
      <c r="C10" s="55" t="s">
        <v>112</v>
      </c>
      <c r="D10" s="173">
        <v>1.3850337903023489</v>
      </c>
    </row>
    <row r="11" spans="2:4" x14ac:dyDescent="0.2">
      <c r="B11" s="2">
        <v>2</v>
      </c>
      <c r="C11" s="55" t="s">
        <v>113</v>
      </c>
      <c r="D11" s="173">
        <v>1.4724585E-2</v>
      </c>
    </row>
    <row r="12" spans="2:4" x14ac:dyDescent="0.2">
      <c r="B12" s="2">
        <v>3</v>
      </c>
      <c r="C12" s="55" t="s">
        <v>114</v>
      </c>
      <c r="D12" s="173">
        <v>0.83888397038232698</v>
      </c>
    </row>
    <row r="13" spans="2:4" x14ac:dyDescent="0.2">
      <c r="B13" s="2">
        <v>4</v>
      </c>
      <c r="C13" s="55" t="s">
        <v>115</v>
      </c>
      <c r="D13" s="173">
        <v>2.4011235500000002E-2</v>
      </c>
    </row>
    <row r="14" spans="2:4" x14ac:dyDescent="0.2">
      <c r="B14" s="2">
        <v>5</v>
      </c>
      <c r="C14" s="55" t="s">
        <v>116</v>
      </c>
      <c r="D14" s="173">
        <v>0.13504931442238091</v>
      </c>
    </row>
    <row r="15" spans="2:4" x14ac:dyDescent="0.2">
      <c r="B15" s="2">
        <v>6</v>
      </c>
      <c r="C15" s="55" t="s">
        <v>117</v>
      </c>
      <c r="D15" s="173">
        <v>5.9091194762353385E-3</v>
      </c>
    </row>
    <row r="16" spans="2:4" x14ac:dyDescent="0.2">
      <c r="B16" s="2">
        <v>7</v>
      </c>
      <c r="C16" s="55" t="s">
        <v>118</v>
      </c>
      <c r="D16" s="173">
        <v>0</v>
      </c>
    </row>
    <row r="17" spans="2:4" x14ac:dyDescent="0.2">
      <c r="B17" s="2">
        <v>8</v>
      </c>
      <c r="C17" s="55" t="s">
        <v>119</v>
      </c>
      <c r="D17" s="173">
        <v>9.8139781536906778E-2</v>
      </c>
    </row>
    <row r="18" spans="2:4" ht="15" x14ac:dyDescent="0.25">
      <c r="B18" s="2">
        <v>9</v>
      </c>
      <c r="C18" s="56" t="s">
        <v>120</v>
      </c>
      <c r="D18" s="110">
        <f>SUM(D10:D17)</f>
        <v>2.5017517966201996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121</v>
      </c>
      <c r="D20" s="110">
        <f>'F4'!F22</f>
        <v>1631.58</v>
      </c>
    </row>
    <row r="21" spans="2:4" ht="28.5" x14ac:dyDescent="0.2">
      <c r="B21" s="2">
        <v>11</v>
      </c>
      <c r="C21" s="58" t="s">
        <v>122</v>
      </c>
      <c r="D21" s="122">
        <f>IFERROR(D18/D20,0)</f>
        <v>1.5333307570699565E-3</v>
      </c>
    </row>
    <row r="22" spans="2:4" x14ac:dyDescent="0.2">
      <c r="B22" s="2"/>
      <c r="C22" s="54"/>
      <c r="D22" s="3"/>
    </row>
  </sheetData>
  <mergeCells count="5">
    <mergeCell ref="B2:D2"/>
    <mergeCell ref="B3:D3"/>
    <mergeCell ref="B4:D4"/>
    <mergeCell ref="B7:B9"/>
    <mergeCell ref="C7:C9"/>
  </mergeCells>
  <pageMargins left="0.25" right="0.25" top="0.5" bottom="0.5" header="0.5" footer="0.5"/>
  <pageSetup paperSize="9" scale="12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view="pageBreakPreview" zoomScale="90" zoomScaleNormal="118" zoomScaleSheetLayoutView="90" workbookViewId="0">
      <selection activeCell="G33" sqref="G33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9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237</v>
      </c>
      <c r="C4" s="190"/>
      <c r="D4" s="190"/>
      <c r="E4" s="190"/>
      <c r="F4" s="190"/>
    </row>
    <row r="5" spans="2:6" ht="15" x14ac:dyDescent="0.25">
      <c r="B5" s="38"/>
      <c r="C5" s="60"/>
      <c r="D5" s="60"/>
      <c r="E5" s="60"/>
      <c r="F5" s="60"/>
    </row>
    <row r="6" spans="2:6" x14ac:dyDescent="0.2">
      <c r="F6" s="184" t="s">
        <v>344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s="5" customFormat="1" x14ac:dyDescent="0.2">
      <c r="B10" s="62">
        <v>1</v>
      </c>
      <c r="C10" s="28" t="s">
        <v>208</v>
      </c>
      <c r="D10" s="2"/>
      <c r="E10" s="28"/>
      <c r="F10" s="28"/>
    </row>
    <row r="11" spans="2:6" s="5" customFormat="1" x14ac:dyDescent="0.2">
      <c r="B11" s="22">
        <v>2</v>
      </c>
      <c r="C11" s="28" t="s">
        <v>240</v>
      </c>
      <c r="D11" s="2"/>
      <c r="E11" s="107">
        <v>4.2300000000000004</v>
      </c>
      <c r="F11" s="107">
        <f>E11</f>
        <v>4.2300000000000004</v>
      </c>
    </row>
    <row r="12" spans="2:6" s="5" customFormat="1" ht="15" x14ac:dyDescent="0.2">
      <c r="B12" s="22">
        <v>3</v>
      </c>
      <c r="C12" s="30" t="s">
        <v>192</v>
      </c>
      <c r="D12" s="119"/>
      <c r="E12" s="125">
        <f>F3.1!H12</f>
        <v>4.2300000000000004</v>
      </c>
      <c r="F12" s="125">
        <f>E12</f>
        <v>4.2300000000000004</v>
      </c>
    </row>
    <row r="13" spans="2:6" s="5" customFormat="1" ht="15" x14ac:dyDescent="0.2">
      <c r="B13" s="22">
        <v>4</v>
      </c>
      <c r="C13" s="28" t="s">
        <v>209</v>
      </c>
      <c r="D13" s="120">
        <f>D10+D11-D12</f>
        <v>0</v>
      </c>
      <c r="E13" s="120">
        <f>E10+E11-E12</f>
        <v>0</v>
      </c>
      <c r="F13" s="120">
        <f>F10+F11-F12</f>
        <v>0</v>
      </c>
    </row>
    <row r="14" spans="2:6" s="34" customFormat="1" ht="15" x14ac:dyDescent="0.2">
      <c r="B14" s="63"/>
      <c r="C14" s="51"/>
      <c r="D14" s="61"/>
      <c r="E14" s="61"/>
      <c r="F14" s="61"/>
    </row>
    <row r="16" spans="2:6" x14ac:dyDescent="0.2">
      <c r="B16" s="64"/>
    </row>
  </sheetData>
  <mergeCells count="6">
    <mergeCell ref="B7:B9"/>
    <mergeCell ref="C7:C9"/>
    <mergeCell ref="D7:F7"/>
    <mergeCell ref="B2:F2"/>
    <mergeCell ref="B3:F3"/>
    <mergeCell ref="B4:F4"/>
  </mergeCells>
  <pageMargins left="1.52" right="0.25" top="1" bottom="1" header="0.25" footer="0.25"/>
  <pageSetup paperSize="9" scale="12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zoomScale="80" zoomScaleNormal="106" zoomScaleSheetLayoutView="80" zoomScalePageLayoutView="78" workbookViewId="0">
      <selection activeCell="G33" sqref="G33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5.28515625" style="5" customWidth="1"/>
    <col min="4" max="4" width="21.28515625" style="5" customWidth="1"/>
    <col min="5" max="5" width="22.42578125" style="5" customWidth="1"/>
    <col min="6" max="7" width="22" style="5" customWidth="1"/>
    <col min="8" max="8" width="17.7109375" style="5" customWidth="1"/>
    <col min="9" max="9" width="35" style="5" customWidth="1"/>
    <col min="10" max="10" width="15.28515625" style="5" customWidth="1"/>
    <col min="11" max="11" width="37" style="5" customWidth="1"/>
    <col min="12" max="12" width="1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B2" s="190" t="s">
        <v>299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2:13" ht="15" x14ac:dyDescent="0.2">
      <c r="B3" s="190" t="s">
        <v>339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2:13" ht="15" x14ac:dyDescent="0.2">
      <c r="B4" s="190" t="s">
        <v>238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</row>
    <row r="5" spans="2:13" ht="15" x14ac:dyDescent="0.2">
      <c r="K5" s="37"/>
      <c r="L5" s="184" t="s">
        <v>344</v>
      </c>
    </row>
    <row r="6" spans="2:13" ht="60" x14ac:dyDescent="0.2">
      <c r="B6" s="17" t="s">
        <v>164</v>
      </c>
      <c r="C6" s="25" t="s">
        <v>210</v>
      </c>
      <c r="D6" s="32" t="s">
        <v>212</v>
      </c>
      <c r="E6" s="25" t="s">
        <v>211</v>
      </c>
      <c r="F6" s="32" t="s">
        <v>214</v>
      </c>
      <c r="G6" s="32" t="s">
        <v>217</v>
      </c>
      <c r="H6" s="32" t="s">
        <v>218</v>
      </c>
      <c r="I6" s="32" t="s">
        <v>231</v>
      </c>
      <c r="J6" s="25" t="s">
        <v>213</v>
      </c>
      <c r="K6" s="32" t="s">
        <v>219</v>
      </c>
      <c r="L6" s="32" t="s">
        <v>158</v>
      </c>
      <c r="M6" s="27"/>
    </row>
    <row r="7" spans="2:13" s="34" customFormat="1" ht="15" x14ac:dyDescent="0.2">
      <c r="B7" s="22"/>
      <c r="C7" s="32" t="s">
        <v>300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303</v>
      </c>
      <c r="F8" s="118"/>
      <c r="G8" s="118"/>
      <c r="H8" s="118"/>
      <c r="I8" s="28" t="s">
        <v>303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304</v>
      </c>
      <c r="F9" s="118"/>
      <c r="G9" s="118"/>
      <c r="H9" s="118"/>
      <c r="I9" s="28" t="s">
        <v>304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8"/>
      <c r="F10" s="118"/>
      <c r="G10" s="118"/>
      <c r="H10" s="118"/>
      <c r="I10" s="28"/>
      <c r="J10" s="28"/>
      <c r="K10" s="28"/>
      <c r="L10" s="28"/>
    </row>
    <row r="11" spans="2:13" x14ac:dyDescent="0.2">
      <c r="B11" s="28"/>
      <c r="C11" s="28" t="s">
        <v>6</v>
      </c>
      <c r="D11" s="28"/>
      <c r="E11" s="28"/>
      <c r="F11" s="28"/>
      <c r="G11" s="28">
        <v>4.2300000000000004</v>
      </c>
      <c r="H11" s="28">
        <v>4.2300000000000004</v>
      </c>
      <c r="I11" s="28"/>
      <c r="J11" s="28"/>
      <c r="K11" s="28"/>
      <c r="L11" s="28"/>
    </row>
    <row r="12" spans="2:13" ht="15" x14ac:dyDescent="0.2">
      <c r="B12" s="28"/>
      <c r="C12" s="25" t="s">
        <v>124</v>
      </c>
      <c r="D12" s="128"/>
      <c r="E12" s="118"/>
      <c r="F12" s="111">
        <f>SUM(F8:F11)</f>
        <v>0</v>
      </c>
      <c r="G12" s="111">
        <f>ROUND(SUM(G8:G11),2)</f>
        <v>4.2300000000000004</v>
      </c>
      <c r="H12" s="111">
        <f>ROUND(SUM(H8:H11),2)</f>
        <v>4.2300000000000004</v>
      </c>
      <c r="I12" s="28"/>
      <c r="J12" s="28"/>
      <c r="K12" s="28"/>
      <c r="L12" s="28"/>
    </row>
    <row r="13" spans="2:13" x14ac:dyDescent="0.2">
      <c r="B13" s="63" t="s">
        <v>215</v>
      </c>
      <c r="C13" s="52" t="s">
        <v>216</v>
      </c>
    </row>
  </sheetData>
  <mergeCells count="3">
    <mergeCell ref="B2:L2"/>
    <mergeCell ref="B3:L3"/>
    <mergeCell ref="B4:L4"/>
  </mergeCells>
  <pageMargins left="0.27" right="0.25" top="1" bottom="1" header="0.25" footer="0.25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G33" sqref="G33"/>
    </sheetView>
  </sheetViews>
  <sheetFormatPr defaultColWidth="9.28515625" defaultRowHeight="14.25" x14ac:dyDescent="0.2"/>
  <cols>
    <col min="1" max="2" width="9.28515625" style="87"/>
    <col min="3" max="3" width="42" style="87" customWidth="1"/>
    <col min="4" max="4" width="16.28515625" style="87" customWidth="1"/>
    <col min="5" max="16384" width="9.28515625" style="87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ht="14.25" customHeight="1" x14ac:dyDescent="0.2">
      <c r="B4" s="190" t="s">
        <v>264</v>
      </c>
      <c r="C4" s="190"/>
      <c r="D4" s="190"/>
    </row>
    <row r="5" spans="2:4" x14ac:dyDescent="0.2">
      <c r="D5" s="184" t="s">
        <v>344</v>
      </c>
    </row>
    <row r="6" spans="2:4" ht="15" customHeight="1" x14ac:dyDescent="0.2">
      <c r="B6" s="199" t="s">
        <v>164</v>
      </c>
      <c r="C6" s="210" t="s">
        <v>15</v>
      </c>
      <c r="D6" s="199" t="s">
        <v>300</v>
      </c>
    </row>
    <row r="7" spans="2:4" x14ac:dyDescent="0.2">
      <c r="B7" s="199"/>
      <c r="C7" s="210"/>
      <c r="D7" s="199"/>
    </row>
    <row r="8" spans="2:4" ht="15" x14ac:dyDescent="0.2">
      <c r="B8" s="199"/>
      <c r="C8" s="210"/>
      <c r="D8" s="88" t="s">
        <v>3</v>
      </c>
    </row>
    <row r="9" spans="2:4" ht="15" x14ac:dyDescent="0.2">
      <c r="B9" s="89">
        <v>1</v>
      </c>
      <c r="C9" s="29" t="s">
        <v>265</v>
      </c>
      <c r="D9" s="108">
        <f>F3.1!H12</f>
        <v>4.2300000000000004</v>
      </c>
    </row>
    <row r="10" spans="2:4" x14ac:dyDescent="0.2">
      <c r="B10" s="29"/>
      <c r="C10" s="29"/>
      <c r="D10" s="99"/>
    </row>
    <row r="11" spans="2:4" ht="15" x14ac:dyDescent="0.2">
      <c r="B11" s="89">
        <v>2</v>
      </c>
      <c r="C11" s="90" t="s">
        <v>159</v>
      </c>
      <c r="D11" s="99"/>
    </row>
    <row r="12" spans="2:4" x14ac:dyDescent="0.2">
      <c r="B12" s="29"/>
      <c r="C12" s="29" t="s">
        <v>163</v>
      </c>
      <c r="D12" s="99"/>
    </row>
    <row r="13" spans="2:4" x14ac:dyDescent="0.2">
      <c r="B13" s="29"/>
      <c r="C13" s="29" t="s">
        <v>162</v>
      </c>
      <c r="D13" s="99"/>
    </row>
    <row r="14" spans="2:4" x14ac:dyDescent="0.2">
      <c r="B14" s="29"/>
      <c r="C14" s="29" t="s">
        <v>6</v>
      </c>
      <c r="D14" s="99"/>
    </row>
    <row r="15" spans="2:4" ht="15" x14ac:dyDescent="0.2">
      <c r="B15" s="29"/>
      <c r="C15" s="90" t="s">
        <v>157</v>
      </c>
      <c r="D15" s="108">
        <f>SUM(D12:D14)</f>
        <v>0</v>
      </c>
    </row>
    <row r="16" spans="2:4" x14ac:dyDescent="0.2">
      <c r="B16" s="29"/>
      <c r="C16" s="29"/>
      <c r="D16" s="99"/>
    </row>
    <row r="17" spans="2:4" x14ac:dyDescent="0.2">
      <c r="B17" s="89">
        <v>3</v>
      </c>
      <c r="C17" s="29" t="s">
        <v>0</v>
      </c>
      <c r="D17" s="99"/>
    </row>
    <row r="18" spans="2:4" x14ac:dyDescent="0.2">
      <c r="B18" s="89">
        <v>4</v>
      </c>
      <c r="C18" s="29" t="s">
        <v>160</v>
      </c>
      <c r="D18" s="99">
        <f>D9</f>
        <v>4.2300000000000004</v>
      </c>
    </row>
    <row r="19" spans="2:4" x14ac:dyDescent="0.2">
      <c r="B19" s="89">
        <v>5</v>
      </c>
      <c r="C19" s="29" t="s">
        <v>266</v>
      </c>
      <c r="D19" s="99"/>
    </row>
    <row r="20" spans="2:4" ht="15" x14ac:dyDescent="0.2">
      <c r="B20" s="29"/>
      <c r="C20" s="29"/>
      <c r="D20" s="104"/>
    </row>
    <row r="21" spans="2:4" ht="15" x14ac:dyDescent="0.2">
      <c r="B21" s="89">
        <v>6</v>
      </c>
      <c r="C21" s="90" t="s">
        <v>267</v>
      </c>
      <c r="D21" s="108">
        <f>D15+D17+D18+D19</f>
        <v>4.2300000000000004</v>
      </c>
    </row>
  </sheetData>
  <mergeCells count="6">
    <mergeCell ref="B2:D2"/>
    <mergeCell ref="D6:D7"/>
    <mergeCell ref="B6:B8"/>
    <mergeCell ref="C6:C8"/>
    <mergeCell ref="B4:D4"/>
    <mergeCell ref="B3:D3"/>
  </mergeCells>
  <pageMargins left="0.7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6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F2.2!Print_Area</vt:lpstr>
      <vt:lpstr>'F3'!Print_Area</vt:lpstr>
      <vt:lpstr>'F8'!Print_Area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2025-06-19T07:53:10Z</cp:lastPrinted>
  <dcterms:created xsi:type="dcterms:W3CDTF">2004-07-28T05:30:50Z</dcterms:created>
  <dcterms:modified xsi:type="dcterms:W3CDTF">2025-06-20T10:25:19Z</dcterms:modified>
</cp:coreProperties>
</file>