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8910" yWindow="240" windowWidth="10455" windowHeight="5850" tabRatio="680" activeTab="2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'F9'!$B$2:$G$26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1"/>
  <c r="G29"/>
  <c r="G24"/>
  <c r="G23"/>
  <c r="K13" i="102" l="1"/>
  <c r="J13"/>
  <c r="F13"/>
  <c r="I13" s="1"/>
  <c r="M13" l="1"/>
  <c r="N10" i="71"/>
  <c r="M10"/>
  <c r="L10"/>
  <c r="K10"/>
  <c r="J10"/>
  <c r="I10"/>
  <c r="H10"/>
  <c r="G10"/>
  <c r="F10"/>
  <c r="E10"/>
  <c r="D10"/>
  <c r="C10"/>
  <c r="N8"/>
  <c r="M8"/>
  <c r="L8"/>
  <c r="K8"/>
  <c r="J8"/>
  <c r="I8"/>
  <c r="H8"/>
  <c r="G8"/>
  <c r="F8"/>
  <c r="E8"/>
  <c r="D8"/>
  <c r="C8"/>
  <c r="O8" l="1"/>
  <c r="O10"/>
  <c r="F19" i="110" l="1"/>
  <c r="I9" i="102" l="1"/>
  <c r="M9"/>
  <c r="N9"/>
  <c r="I10"/>
  <c r="M10"/>
  <c r="N10"/>
  <c r="I11"/>
  <c r="M11"/>
  <c r="N11"/>
  <c r="I12"/>
  <c r="M12"/>
  <c r="N12"/>
  <c r="N13"/>
  <c r="I14"/>
  <c r="M14"/>
  <c r="N14"/>
  <c r="I15"/>
  <c r="M15"/>
  <c r="N15"/>
  <c r="I16"/>
  <c r="M16"/>
  <c r="N16"/>
  <c r="I17"/>
  <c r="M17"/>
  <c r="N17"/>
  <c r="I18"/>
  <c r="M18"/>
  <c r="N18"/>
  <c r="I19"/>
  <c r="M19"/>
  <c r="N19"/>
  <c r="I20"/>
  <c r="M20"/>
  <c r="N20"/>
  <c r="I21"/>
  <c r="M21"/>
  <c r="N21"/>
  <c r="B12"/>
  <c r="B13" s="1"/>
  <c r="B14" s="1"/>
  <c r="B15" s="1"/>
  <c r="B16" s="1"/>
  <c r="B17" s="1"/>
  <c r="B18" s="1"/>
  <c r="B19" s="1"/>
  <c r="B20" s="1"/>
  <c r="B21" s="1"/>
  <c r="O20" l="1"/>
  <c r="O18"/>
  <c r="O16"/>
  <c r="O14"/>
  <c r="O12"/>
  <c r="O10"/>
  <c r="O21"/>
  <c r="O19"/>
  <c r="O17"/>
  <c r="O15"/>
  <c r="O13"/>
  <c r="O11"/>
  <c r="O9"/>
  <c r="D12" i="71" l="1"/>
  <c r="E12"/>
  <c r="F12"/>
  <c r="G12"/>
  <c r="H12"/>
  <c r="I12"/>
  <c r="J12"/>
  <c r="C12"/>
  <c r="N12"/>
  <c r="M12"/>
  <c r="L12"/>
  <c r="O12" l="1"/>
  <c r="K12"/>
  <c r="E34" i="106" l="1"/>
  <c r="G16" i="58" s="1"/>
  <c r="H16" s="1"/>
  <c r="F34" i="106"/>
  <c r="D26"/>
  <c r="D34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H12" i="101" l="1"/>
  <c r="G12"/>
  <c r="E15" i="110" l="1"/>
  <c r="E14"/>
  <c r="E13"/>
  <c r="E18" s="1"/>
  <c r="E12"/>
  <c r="E17" i="104"/>
  <c r="E19" i="110" l="1"/>
  <c r="E17"/>
  <c r="E16"/>
  <c r="D26" i="67"/>
  <c r="D34" s="1"/>
  <c r="F17" i="104" l="1"/>
  <c r="F18" i="110"/>
  <c r="F17"/>
  <c r="F16"/>
  <c r="G16" s="1"/>
  <c r="G14"/>
  <c r="G12"/>
  <c r="G11"/>
  <c r="G10"/>
  <c r="G9"/>
  <c r="G13"/>
  <c r="G20" i="58"/>
  <c r="G19" i="110"/>
  <c r="G15"/>
  <c r="H20" i="58" l="1"/>
  <c r="F20"/>
  <c r="E10" i="104"/>
  <c r="G17" i="110"/>
  <c r="E12" i="104"/>
  <c r="F12" s="1"/>
  <c r="G18" i="110"/>
  <c r="D12" i="105"/>
  <c r="E11" i="104" l="1"/>
  <c r="F11" s="1"/>
  <c r="F10"/>
  <c r="D15" i="109" l="1"/>
  <c r="D54" i="103"/>
  <c r="D15"/>
  <c r="D17" s="1"/>
  <c r="D14" i="105"/>
  <c r="D12" i="103"/>
  <c r="E21" i="107"/>
  <c r="E32" s="1"/>
  <c r="E14"/>
  <c r="E16" s="1"/>
  <c r="E34" l="1"/>
  <c r="D16" i="103"/>
  <c r="D18" s="1"/>
  <c r="D20" s="1"/>
  <c r="D13" i="104" l="1"/>
  <c r="D36" i="67"/>
  <c r="D38" i="68"/>
  <c r="D40" s="1"/>
  <c r="D18" i="69"/>
  <c r="F13" i="66" s="1"/>
  <c r="G13" s="1"/>
  <c r="D13" i="93"/>
  <c r="E11"/>
  <c r="F12" i="101"/>
  <c r="D61" i="103"/>
  <c r="D56"/>
  <c r="D55"/>
  <c r="D46"/>
  <c r="D36"/>
  <c r="D37" s="1"/>
  <c r="D39" s="1"/>
  <c r="D41" s="1"/>
  <c r="D18" i="105"/>
  <c r="F18"/>
  <c r="E18"/>
  <c r="F11" i="66" l="1"/>
  <c r="G11" s="1"/>
  <c r="F12"/>
  <c r="G12" s="1"/>
  <c r="E11" i="103"/>
  <c r="F11" s="1"/>
  <c r="E10" i="105"/>
  <c r="F10" s="1"/>
  <c r="F20" s="1"/>
  <c r="E10" i="103"/>
  <c r="D47"/>
  <c r="D49" s="1"/>
  <c r="D9" i="109"/>
  <c r="D18" s="1"/>
  <c r="D21" s="1"/>
  <c r="E12" i="93"/>
  <c r="E11" i="105"/>
  <c r="E12" s="1"/>
  <c r="F12" s="1"/>
  <c r="D20"/>
  <c r="D21" s="1"/>
  <c r="F11" i="93"/>
  <c r="D20" i="69"/>
  <c r="F11" i="58"/>
  <c r="D57" i="103"/>
  <c r="D58" s="1"/>
  <c r="F13" i="58"/>
  <c r="G14" i="66" l="1"/>
  <c r="F14"/>
  <c r="E13" i="104" s="1"/>
  <c r="F13"/>
  <c r="E20" i="105"/>
  <c r="F10" i="103"/>
  <c r="F12" s="1"/>
  <c r="E12"/>
  <c r="F12" i="93"/>
  <c r="F13" s="1"/>
  <c r="E14" i="103"/>
  <c r="D51"/>
  <c r="D60"/>
  <c r="D59" s="1"/>
  <c r="F19" s="1"/>
  <c r="E13" i="93"/>
  <c r="E14" i="105"/>
  <c r="F11"/>
  <c r="F14" s="1"/>
  <c r="F21" s="1"/>
  <c r="F22" s="1"/>
  <c r="H15" i="58" s="1"/>
  <c r="D21" i="69"/>
  <c r="F15" i="58"/>
  <c r="G11" l="1"/>
  <c r="E14" i="104" s="1"/>
  <c r="H11" i="58"/>
  <c r="F14" i="104" s="1"/>
  <c r="E21" i="105"/>
  <c r="E22" s="1"/>
  <c r="G15" i="58" s="1"/>
  <c r="F14" i="103"/>
  <c r="D62"/>
  <c r="E22" i="102"/>
  <c r="H12" i="58"/>
  <c r="F15" i="103" l="1"/>
  <c r="G12" i="58"/>
  <c r="E15" i="103" s="1"/>
  <c r="E16" l="1"/>
  <c r="E18" s="1"/>
  <c r="E20" s="1"/>
  <c r="E22" s="1"/>
  <c r="G13" i="58" s="1"/>
  <c r="E17" i="103"/>
  <c r="F17"/>
  <c r="F16"/>
  <c r="F18" s="1"/>
  <c r="F20" s="1"/>
  <c r="F22" s="1"/>
  <c r="H13" i="58" s="1"/>
  <c r="F16"/>
  <c r="V21" i="107"/>
  <c r="U21"/>
  <c r="T21"/>
  <c r="T32" s="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H19" i="58"/>
  <c r="H21" s="1"/>
  <c r="F19"/>
  <c r="T34" i="107" l="1"/>
  <c r="G34"/>
  <c r="K34"/>
  <c r="O34"/>
  <c r="S34"/>
  <c r="G19" i="58"/>
  <c r="G21" s="1"/>
  <c r="D17" i="104"/>
  <c r="H32" i="107"/>
  <c r="H34" s="1"/>
  <c r="L32"/>
  <c r="L34" s="1"/>
  <c r="P32"/>
  <c r="P34" s="1"/>
  <c r="F32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B20" i="58" l="1"/>
  <c r="B21" s="1"/>
  <c r="B51" i="107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12" i="58"/>
  <c r="B13" s="1"/>
  <c r="B14" s="1"/>
  <c r="B15" s="1"/>
  <c r="B16" s="1"/>
  <c r="B17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9" i="57"/>
  <c r="B10" s="1"/>
  <c r="B11" s="1"/>
  <c r="B12" s="1"/>
  <c r="B13" l="1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F14" i="58"/>
  <c r="F17" s="1"/>
  <c r="F22" s="1"/>
  <c r="D15" i="104" s="1"/>
  <c r="D18" s="1"/>
  <c r="G17" i="58" l="1"/>
  <c r="G22"/>
  <c r="E15" i="104"/>
  <c r="E18"/>
  <c r="E20"/>
  <c r="G14" i="58"/>
  <c r="H22"/>
  <c r="F15" i="104"/>
  <c r="F18"/>
  <c r="F20"/>
  <c r="H14" i="58"/>
  <c r="H17"/>
</calcChain>
</file>

<file path=xl/sharedStrings.xml><?xml version="1.0" encoding="utf-8"?>
<sst xmlns="http://schemas.openxmlformats.org/spreadsheetml/2006/main" count="920" uniqueCount="482">
  <si>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</si>
  <si>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</si>
  <si>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</si>
  <si>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</si>
  <si>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</si>
  <si>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</si>
  <si>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</si>
  <si>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</si>
  <si>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</si>
  <si>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</si>
  <si>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</si>
  <si>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</si>
  <si>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</si>
  <si>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</si>
  <si>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</si>
  <si>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</si>
  <si>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</si>
  <si>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</si>
  <si>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</si>
  <si>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</si>
  <si>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</si>
  <si>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</si>
  <si>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</si>
  <si>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</si>
  <si>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</si>
  <si>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</si>
  <si>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</si>
  <si>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</si>
  <si>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</si>
  <si>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</si>
  <si>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</si>
  <si>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</si>
  <si>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</si>
  <si>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</si>
  <si>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</si>
  <si>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</si>
  <si>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</si>
  <si>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</si>
  <si>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</si>
  <si>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</si>
  <si>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</si>
  <si>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</si>
  <si>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</si>
  <si>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</si>
  <si>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</si>
  <si>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</si>
  <si>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</si>
  <si>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</si>
  <si>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</si>
  <si>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</si>
  <si>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</si>
  <si>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</si>
  <si>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</si>
  <si>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</si>
  <si>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</si>
  <si>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</si>
  <si>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</si>
  <si>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</si>
  <si>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</si>
  <si>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</si>
  <si>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</si>
  <si>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</si>
  <si>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</si>
  <si>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</si>
  <si>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</si>
  <si>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</si>
  <si>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</si>
  <si>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</si>
  <si>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</si>
  <si>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</si>
  <si>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</si>
  <si>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</si>
  <si>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</si>
  <si>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</si>
  <si>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</si>
  <si>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</si>
  <si>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</si>
  <si>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</si>
  <si>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</si>
  <si>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</si>
  <si>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</si>
  <si>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</si>
  <si>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</si>
  <si>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</si>
  <si>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</si>
  <si>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</si>
  <si>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</si>
  <si>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</si>
  <si>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</si>
  <si>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</si>
  <si>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</si>
  <si>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</si>
  <si>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</si>
  <si>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</si>
  <si>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</si>
  <si>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</si>
  <si>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</si>
  <si>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</si>
  <si>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</si>
  <si>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</si>
  <si>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</si>
  <si>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</si>
  <si>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</si>
  <si>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</si>
  <si>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</si>
  <si>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</si>
  <si>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</si>
  <si>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</si>
  <si>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</si>
  <si>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</si>
  <si>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</si>
  <si>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</si>
  <si>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</si>
  <si>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</si>
  <si>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</si>
  <si>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</si>
  <si>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</si>
  <si>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</si>
  <si>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</si>
  <si>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</si>
  <si>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</si>
  <si>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</si>
  <si>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</si>
  <si>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</si>
  <si>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</si>
  <si>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</si>
  <si>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</si>
  <si>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</si>
  <si>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</si>
  <si>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</si>
  <si>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</si>
  <si>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</si>
  <si>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</si>
  <si>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</si>
  <si>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</si>
  <si>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</si>
  <si>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</si>
  <si>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</si>
  <si>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</si>
  <si>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</si>
  <si>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</si>
  <si>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</si>
  <si>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</si>
  <si>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</si>
  <si>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</si>
  <si>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</si>
  <si>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</si>
  <si>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</si>
  <si>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</si>
  <si>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</si>
  <si>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</si>
  <si>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</si>
  <si>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</si>
  <si>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</si>
  <si>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</si>
  <si>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</si>
  <si>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</si>
  <si>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</si>
  <si>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</si>
  <si>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</si>
  <si>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</si>
  <si>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</si>
  <si>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</si>
  <si>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</si>
  <si>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</si>
  <si>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</si>
  <si>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</si>
  <si>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</si>
  <si>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</si>
  <si>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</si>
  <si>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</si>
  <si>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</si>
  <si>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</si>
  <si>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</si>
  <si>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</si>
  <si>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</si>
  <si>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</si>
  <si>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</si>
  <si>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</si>
  <si>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</si>
  <si>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</si>
  <si>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</si>
  <si>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</si>
  <si>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</si>
  <si>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</si>
  <si>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</si>
  <si>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</si>
  <si>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</si>
  <si>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</si>
  <si>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</si>
  <si>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</si>
  <si>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</si>
  <si>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</si>
  <si>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</si>
  <si>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</si>
  <si>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</si>
  <si>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</si>
  <si>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</si>
  <si>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</si>
  <si>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</si>
  <si>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</si>
  <si>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</si>
  <si>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</si>
  <si>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</si>
  <si>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</si>
  <si>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</si>
  <si>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</si>
  <si>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</si>
  <si>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</si>
  <si>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</si>
  <si>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</si>
  <si>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</si>
  <si>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</si>
  <si>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</si>
  <si>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</si>
  <si>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</si>
  <si>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</si>
  <si>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</si>
  <si>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</si>
  <si>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</si>
  <si>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</si>
  <si>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</si>
  <si>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</si>
  <si>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</si>
  <si>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</si>
  <si>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</si>
  <si>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</si>
  <si>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</si>
  <si>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</si>
  <si>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</si>
  <si>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</si>
  <si>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</si>
  <si>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</si>
  <si>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</si>
  <si>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</si>
  <si>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</si>
  <si>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</si>
  <si>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</si>
  <si>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</si>
  <si>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</si>
  <si>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</si>
  <si>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</si>
  <si>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</si>
  <si>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</si>
  <si>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</si>
  <si>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</si>
  <si>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</si>
  <si>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</si>
  <si>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</si>
  <si>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</si>
  <si>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</si>
  <si>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</si>
  <si>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</si>
  <si>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</si>
  <si>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</si>
  <si>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</si>
  <si>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</si>
  <si>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</si>
  <si>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</si>
  <si>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</si>
  <si>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</si>
  <si>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</si>
  <si>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</si>
  <si>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</si>
  <si>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</si>
  <si>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</si>
  <si>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</si>
  <si>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</si>
  <si>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</si>
  <si>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</si>
  <si>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</si>
  <si>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</si>
  <si>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</si>
  <si>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</si>
  <si>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</si>
  <si>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</si>
  <si>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</si>
  <si>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</si>
  <si>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</si>
  <si>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</si>
  <si>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</si>
  <si>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</si>
  <si>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</si>
  <si>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</si>
  <si>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</si>
  <si>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</si>
  <si>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</si>
  <si>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</si>
  <si>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</si>
  <si>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</si>
  <si>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</si>
  <si>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</si>
  <si>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</si>
  <si>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</si>
  <si>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</si>
  <si>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</si>
  <si>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</si>
  <si>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</si>
  <si>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</si>
  <si>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</si>
  <si>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</si>
  <si>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</si>
  <si>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</si>
  <si>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</si>
  <si>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</si>
  <si>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</si>
  <si>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</si>
  <si>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</si>
  <si>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</si>
  <si>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</si>
  <si>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</si>
  <si>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</si>
  <si>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</si>
  <si>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</si>
  <si>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</si>
  <si>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</si>
  <si>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</si>
  <si>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</si>
  <si>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</si>
  <si>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</si>
  <si>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</si>
  <si>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</si>
  <si>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</si>
  <si>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</si>
  <si>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</si>
  <si>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</si>
  <si>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</si>
  <si>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</si>
  <si>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</si>
  <si>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</si>
  <si>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</si>
  <si>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</si>
  <si>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</si>
  <si>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</si>
  <si>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</si>
  <si>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</si>
  <si>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</si>
  <si>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</si>
  <si>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</si>
  <si>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</si>
  <si>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</si>
  <si>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</si>
  <si>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</si>
  <si>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</si>
  <si>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</si>
  <si>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</si>
  <si>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</si>
  <si>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</si>
  <si>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</si>
  <si>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</si>
  <si>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</si>
  <si>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</si>
  <si>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</si>
  <si>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</si>
  <si>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</si>
  <si>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</si>
  <si>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</si>
  <si>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</si>
  <si>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</si>
  <si>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</si>
  <si>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</si>
  <si>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</si>
  <si>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</si>
  <si>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</si>
  <si>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</si>
  <si>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</si>
  <si>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</si>
  <si>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</si>
  <si>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</si>
  <si>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</si>
  <si>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</si>
  <si>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</si>
  <si>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</si>
  <si>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</si>
  <si>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</si>
  <si>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</si>
  <si>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</si>
  <si>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</si>
  <si>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</si>
  <si>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</si>
  <si>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</si>
  <si>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</si>
  <si>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</si>
  <si>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</si>
  <si>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</si>
  <si>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</si>
  <si>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</si>
  <si>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</si>
  <si>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</si>
  <si>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</si>
  <si>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</si>
  <si>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</si>
  <si>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</si>
  <si>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</si>
  <si>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</si>
  <si>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</si>
  <si>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</si>
  <si>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</si>
  <si>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</si>
  <si>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</si>
  <si>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</si>
  <si>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</si>
  <si>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FY 2025-26</t>
  </si>
  <si>
    <t>Form 2.2: Administrative &amp; General Expenses</t>
  </si>
  <si>
    <t>Form 1: Summary Sheet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</si>
  <si>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</si>
  <si>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</si>
  <si>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</si>
  <si>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</si>
  <si>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</si>
  <si>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</si>
  <si>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</si>
  <si>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</si>
  <si>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</si>
  <si>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</si>
  <si>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</si>
  <si>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</si>
  <si>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</si>
  <si>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</si>
  <si>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</si>
  <si>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</si>
  <si>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</si>
  <si>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</si>
  <si>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</si>
  <si>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</si>
  <si>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</si>
  <si>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</si>
  <si>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</si>
  <si>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</si>
  <si>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</si>
  <si>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</si>
  <si>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</si>
  <si>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</si>
  <si>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</si>
  <si>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</si>
  <si>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</si>
  <si>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</si>
  <si>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</si>
  <si>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</si>
  <si>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</si>
  <si>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</si>
  <si>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</si>
  <si>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</si>
  <si>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</si>
  <si>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</si>
  <si>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</si>
  <si>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</si>
  <si>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</si>
  <si>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</si>
  <si>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</si>
  <si>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</si>
  <si>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</si>
  <si>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</si>
  <si>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</si>
  <si>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</si>
  <si>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</si>
  <si>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</si>
  <si>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</si>
  <si>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</si>
  <si>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</si>
  <si>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</si>
  <si>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</si>
  <si>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</si>
  <si>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</si>
  <si>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 xml:space="preserve">GCV DETAILS TO BE FURNISHED BY COAL &amp; COMMERCIAL </t>
  </si>
  <si>
    <t>-</t>
  </si>
  <si>
    <t>Fuel (savings)/charge year end adjustment</t>
  </si>
  <si>
    <t>Fixed charges disallowed as per TGSLDC Availability</t>
  </si>
  <si>
    <t>Revised Proposal</t>
  </si>
  <si>
    <t>TGSPDCL (70.55%)</t>
  </si>
  <si>
    <t>TGNPDCL (29.45%)</t>
  </si>
  <si>
    <t xml:space="preserve">      &lt;KTPP-I&gt;</t>
  </si>
  <si>
    <t>KTPP-I</t>
  </si>
  <si>
    <t>KTPP-I &amp; II</t>
  </si>
  <si>
    <t>Form 11.1: Fuel Details for computation of Energy Charge Rate</t>
  </si>
  <si>
    <t>14.09.2010</t>
  </si>
  <si>
    <t>Non-Pit head</t>
  </si>
  <si>
    <t>Separate Annexure is enclosed</t>
  </si>
  <si>
    <t>Rs.in Cr.</t>
  </si>
  <si>
    <t>Rs. in Cr.</t>
  </si>
  <si>
    <t>1). In case actual availability is less or more than normative value, the modification in the formula need to be done accordingly.</t>
  </si>
  <si>
    <t>Fixed charges reduced prorata to actual capitalisation</t>
  </si>
</sst>
</file>

<file path=xl/styles.xml><?xml version="1.0" encoding="utf-8"?>
<styleSheet xmlns="http://schemas.openxmlformats.org/spreadsheetml/2006/main">
  <numFmts count="13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0000"/>
    <numFmt numFmtId="171" formatCode="0.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</numFmts>
  <fonts count="5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3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7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8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8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2" fillId="0" borderId="0"/>
    <xf numFmtId="0" fontId="3" fillId="0" borderId="0" applyFont="0" applyFill="0" applyBorder="0" applyAlignment="0" applyProtection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10" borderId="24" applyNumberFormat="0" applyAlignment="0" applyProtection="0"/>
    <xf numFmtId="0" fontId="42" fillId="11" borderId="25" applyNumberFormat="0" applyAlignment="0" applyProtection="0"/>
    <xf numFmtId="0" fontId="43" fillId="11" borderId="24" applyNumberFormat="0" applyAlignment="0" applyProtection="0"/>
    <xf numFmtId="0" fontId="44" fillId="0" borderId="26" applyNumberFormat="0" applyFill="0" applyAlignment="0" applyProtection="0"/>
    <xf numFmtId="0" fontId="45" fillId="12" borderId="27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29" applyNumberFormat="0" applyFill="0" applyAlignment="0" applyProtection="0"/>
    <xf numFmtId="0" fontId="4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50" fillId="9" borderId="0" applyNumberFormat="0" applyBorder="0" applyAlignment="0" applyProtection="0"/>
    <xf numFmtId="0" fontId="49" fillId="17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37" borderId="0" applyNumberFormat="0" applyBorder="0" applyAlignment="0" applyProtection="0"/>
    <xf numFmtId="0" fontId="10" fillId="0" borderId="0"/>
    <xf numFmtId="10" fontId="13" fillId="3" borderId="2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3" borderId="28" applyNumberFormat="0" applyFont="0" applyAlignment="0" applyProtection="0"/>
    <xf numFmtId="0" fontId="51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302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14" fillId="0" borderId="0" xfId="14" applyFont="1" applyAlignment="1">
      <alignment horizontal="right"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>
      <alignment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0" xfId="14" applyFont="1" applyAlignment="1">
      <alignment horizontal="center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22" fillId="4" borderId="13" xfId="68" applyFont="1" applyFill="1" applyBorder="1" applyAlignment="1">
      <alignment horizontal="center" vertical="center" wrapText="1"/>
    </xf>
    <xf numFmtId="0" fontId="22" fillId="4" borderId="14" xfId="68" applyFont="1" applyFill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22" fillId="0" borderId="9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7" fontId="17" fillId="0" borderId="0" xfId="10" applyNumberFormat="1" applyFont="1" applyAlignment="1">
      <alignment vertical="center"/>
    </xf>
    <xf numFmtId="0" fontId="17" fillId="0" borderId="0" xfId="14" applyFont="1" applyAlignment="1">
      <alignment horizontal="centerContinuous" vertical="center"/>
    </xf>
    <xf numFmtId="0" fontId="22" fillId="0" borderId="4" xfId="14" applyFont="1" applyBorder="1" applyAlignment="1">
      <alignment horizontal="left" vertical="center" wrapText="1"/>
    </xf>
    <xf numFmtId="0" fontId="17" fillId="0" borderId="4" xfId="14" quotePrefix="1" applyFont="1" applyBorder="1" applyAlignment="1">
      <alignment horizontal="center" vertical="center" wrapText="1"/>
    </xf>
    <xf numFmtId="0" fontId="17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 wrapText="1"/>
    </xf>
    <xf numFmtId="0" fontId="25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vertical="center" wrapText="1"/>
    </xf>
    <xf numFmtId="0" fontId="22" fillId="0" borderId="4" xfId="14" applyFont="1" applyBorder="1" applyAlignment="1">
      <alignment vertical="center" wrapText="1"/>
    </xf>
    <xf numFmtId="0" fontId="22" fillId="0" borderId="0" xfId="14" applyFont="1" applyAlignment="1">
      <alignment horizontal="left" vertical="center" wrapText="1"/>
    </xf>
    <xf numFmtId="0" fontId="17" fillId="0" borderId="0" xfId="14" quotePrefix="1" applyFont="1" applyAlignment="1">
      <alignment horizontal="center" vertical="center" wrapText="1"/>
    </xf>
    <xf numFmtId="0" fontId="17" fillId="0" borderId="0" xfId="10" applyFont="1" applyAlignment="1">
      <alignment horizontal="center" vertical="center" wrapText="1"/>
    </xf>
    <xf numFmtId="0" fontId="26" fillId="0" borderId="0" xfId="10" applyFont="1" applyAlignment="1">
      <alignment horizontal="left" vertical="center"/>
    </xf>
    <xf numFmtId="0" fontId="17" fillId="0" borderId="0" xfId="10" applyFont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9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2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169" fontId="17" fillId="0" borderId="4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vertical="center"/>
    </xf>
    <xf numFmtId="2" fontId="17" fillId="0" borderId="4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2" fontId="22" fillId="0" borderId="4" xfId="0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center" vertical="center"/>
    </xf>
    <xf numFmtId="0" fontId="22" fillId="6" borderId="4" xfId="0" applyFont="1" applyFill="1" applyBorder="1" applyAlignment="1">
      <alignment vertical="center"/>
    </xf>
    <xf numFmtId="2" fontId="22" fillId="6" borderId="4" xfId="0" applyNumberFormat="1" applyFont="1" applyFill="1" applyBorder="1" applyAlignment="1">
      <alignment vertical="center"/>
    </xf>
    <xf numFmtId="2" fontId="22" fillId="6" borderId="4" xfId="0" applyNumberFormat="1" applyFont="1" applyFill="1" applyBorder="1" applyAlignment="1">
      <alignment horizontal="right" vertical="center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9" xfId="14" applyFont="1" applyBorder="1">
      <alignment vertical="center"/>
    </xf>
    <xf numFmtId="2" fontId="22" fillId="6" borderId="9" xfId="14" applyNumberFormat="1" applyFont="1" applyFill="1" applyBorder="1">
      <alignment vertical="center"/>
    </xf>
    <xf numFmtId="10" fontId="17" fillId="0" borderId="9" xfId="39" applyNumberFormat="1" applyFont="1" applyBorder="1" applyAlignment="1">
      <alignment vertical="center"/>
    </xf>
    <xf numFmtId="10" fontId="17" fillId="0" borderId="9" xfId="14" applyNumberFormat="1" applyFont="1" applyBorder="1">
      <alignment vertical="center"/>
    </xf>
    <xf numFmtId="10" fontId="22" fillId="6" borderId="9" xfId="14" applyNumberFormat="1" applyFont="1" applyFill="1" applyBorder="1">
      <alignment vertical="center"/>
    </xf>
    <xf numFmtId="2" fontId="17" fillId="0" borderId="9" xfId="14" applyNumberFormat="1" applyFont="1" applyBorder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2" fontId="17" fillId="0" borderId="4" xfId="14" applyNumberFormat="1" applyFont="1" applyBorder="1">
      <alignment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2" fontId="22" fillId="5" borderId="4" xfId="14" applyNumberFormat="1" applyFont="1" applyFill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22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2" fontId="17" fillId="6" borderId="9" xfId="14" applyNumberFormat="1" applyFont="1" applyFill="1" applyBorder="1">
      <alignment vertical="center"/>
    </xf>
    <xf numFmtId="0" fontId="22" fillId="0" borderId="3" xfId="14" applyFont="1" applyBorder="1" applyAlignment="1">
      <alignment horizontal="center" vertical="center" wrapText="1"/>
    </xf>
    <xf numFmtId="2" fontId="17" fillId="0" borderId="4" xfId="10" applyNumberFormat="1" applyFont="1" applyBorder="1"/>
    <xf numFmtId="2" fontId="17" fillId="0" borderId="4" xfId="10" applyNumberFormat="1" applyFont="1" applyBorder="1" applyAlignment="1">
      <alignment vertical="top" wrapText="1"/>
    </xf>
    <xf numFmtId="2" fontId="22" fillId="0" borderId="4" xfId="10" applyNumberFormat="1" applyFont="1" applyBorder="1" applyAlignment="1">
      <alignment vertical="top" wrapText="1"/>
    </xf>
    <xf numFmtId="171" fontId="22" fillId="6" borderId="4" xfId="0" applyNumberFormat="1" applyFont="1" applyFill="1" applyBorder="1" applyAlignment="1">
      <alignment vertical="center"/>
    </xf>
    <xf numFmtId="171" fontId="17" fillId="0" borderId="4" xfId="0" applyNumberFormat="1" applyFont="1" applyBorder="1" applyAlignment="1">
      <alignment vertical="center"/>
    </xf>
    <xf numFmtId="171" fontId="22" fillId="6" borderId="4" xfId="14" applyNumberFormat="1" applyFont="1" applyFill="1" applyBorder="1" applyAlignment="1">
      <alignment horizontal="center" vertical="center"/>
    </xf>
    <xf numFmtId="10" fontId="17" fillId="0" borderId="0" xfId="14" applyNumberFormat="1" applyFont="1">
      <alignment vertical="center"/>
    </xf>
    <xf numFmtId="2" fontId="17" fillId="0" borderId="9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0" fontId="27" fillId="0" borderId="4" xfId="0" applyFont="1" applyBorder="1"/>
    <xf numFmtId="170" fontId="17" fillId="0" borderId="0" xfId="10" applyNumberFormat="1" applyFont="1" applyAlignment="1">
      <alignment vertical="center"/>
    </xf>
    <xf numFmtId="0" fontId="0" fillId="0" borderId="4" xfId="0" applyBorder="1"/>
    <xf numFmtId="43" fontId="17" fillId="0" borderId="4" xfId="71" applyFont="1" applyBorder="1" applyAlignment="1">
      <alignment horizontal="center" vertical="center"/>
    </xf>
    <xf numFmtId="43" fontId="17" fillId="0" borderId="4" xfId="71" applyFont="1" applyBorder="1" applyAlignment="1">
      <alignment vertical="center"/>
    </xf>
    <xf numFmtId="43" fontId="0" fillId="0" borderId="4" xfId="71" applyFont="1" applyBorder="1"/>
    <xf numFmtId="1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2" fontId="34" fillId="0" borderId="4" xfId="10" applyNumberFormat="1" applyFont="1" applyBorder="1" applyAlignment="1">
      <alignment horizontal="center" vertical="center"/>
    </xf>
    <xf numFmtId="0" fontId="34" fillId="0" borderId="8" xfId="10" applyFont="1" applyBorder="1" applyAlignment="1">
      <alignment horizontal="center" vertical="center" wrapText="1"/>
    </xf>
    <xf numFmtId="0" fontId="34" fillId="0" borderId="4" xfId="10" applyFont="1" applyBorder="1" applyAlignment="1">
      <alignment vertical="center" wrapText="1"/>
    </xf>
    <xf numFmtId="0" fontId="34" fillId="0" borderId="4" xfId="10" applyFont="1" applyBorder="1" applyAlignment="1">
      <alignment horizontal="center" vertical="center" wrapText="1"/>
    </xf>
    <xf numFmtId="2" fontId="33" fillId="0" borderId="4" xfId="10" applyNumberFormat="1" applyFont="1" applyBorder="1" applyAlignment="1">
      <alignment vertical="center"/>
    </xf>
    <xf numFmtId="10" fontId="24" fillId="0" borderId="30" xfId="0" applyNumberFormat="1" applyFont="1" applyBorder="1"/>
    <xf numFmtId="2" fontId="22" fillId="6" borderId="19" xfId="19" applyNumberFormat="1" applyFont="1" applyFill="1" applyBorder="1" applyAlignment="1">
      <alignment horizontal="right" vertical="center"/>
    </xf>
    <xf numFmtId="0" fontId="10" fillId="0" borderId="30" xfId="0" applyFont="1" applyBorder="1" applyAlignment="1">
      <alignment vertical="center"/>
    </xf>
    <xf numFmtId="2" fontId="10" fillId="0" borderId="30" xfId="0" applyNumberFormat="1" applyFont="1" applyBorder="1" applyAlignment="1">
      <alignment vertical="center"/>
    </xf>
    <xf numFmtId="1" fontId="10" fillId="0" borderId="30" xfId="0" applyNumberFormat="1" applyFont="1" applyBorder="1" applyAlignment="1">
      <alignment vertical="center"/>
    </xf>
    <xf numFmtId="0" fontId="24" fillId="0" borderId="30" xfId="0" applyFont="1" applyBorder="1" applyAlignment="1">
      <alignment wrapText="1"/>
    </xf>
    <xf numFmtId="43" fontId="24" fillId="0" borderId="30" xfId="0" applyNumberFormat="1" applyFont="1" applyBorder="1"/>
    <xf numFmtId="43" fontId="17" fillId="0" borderId="30" xfId="0" applyNumberFormat="1" applyFont="1" applyBorder="1"/>
    <xf numFmtId="10" fontId="17" fillId="0" borderId="30" xfId="0" applyNumberFormat="1" applyFont="1" applyBorder="1"/>
    <xf numFmtId="43" fontId="17" fillId="0" borderId="31" xfId="0" applyNumberFormat="1" applyFont="1" applyBorder="1"/>
    <xf numFmtId="0" fontId="17" fillId="0" borderId="30" xfId="0" applyFont="1" applyBorder="1"/>
    <xf numFmtId="0" fontId="24" fillId="0" borderId="30" xfId="0" applyFont="1" applyBorder="1"/>
    <xf numFmtId="2" fontId="22" fillId="6" borderId="18" xfId="19" applyNumberFormat="1" applyFont="1" applyFill="1" applyBorder="1" applyAlignment="1">
      <alignment horizontal="right" vertical="center"/>
    </xf>
    <xf numFmtId="9" fontId="24" fillId="0" borderId="30" xfId="0" applyNumberFormat="1" applyFont="1" applyBorder="1"/>
    <xf numFmtId="10" fontId="24" fillId="0" borderId="0" xfId="0" applyNumberFormat="1" applyFont="1"/>
    <xf numFmtId="2" fontId="22" fillId="6" borderId="13" xfId="19" applyNumberFormat="1" applyFont="1" applyFill="1" applyBorder="1" applyAlignment="1">
      <alignment horizontal="right" vertical="center"/>
    </xf>
    <xf numFmtId="0" fontId="17" fillId="0" borderId="30" xfId="0" applyFont="1" applyBorder="1" applyAlignment="1">
      <alignment wrapText="1"/>
    </xf>
    <xf numFmtId="1" fontId="10" fillId="0" borderId="20" xfId="0" applyNumberFormat="1" applyFont="1" applyBorder="1" applyAlignment="1">
      <alignment vertical="center"/>
    </xf>
    <xf numFmtId="2" fontId="34" fillId="0" borderId="20" xfId="10" applyNumberFormat="1" applyFont="1" applyBorder="1" applyAlignment="1">
      <alignment horizontal="right" vertical="center"/>
    </xf>
    <xf numFmtId="171" fontId="34" fillId="0" borderId="20" xfId="10" applyNumberFormat="1" applyFont="1" applyBorder="1" applyAlignment="1">
      <alignment horizontal="right" vertical="center"/>
    </xf>
    <xf numFmtId="2" fontId="34" fillId="0" borderId="20" xfId="1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0" fontId="17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2" fontId="22" fillId="0" borderId="30" xfId="10" applyNumberFormat="1" applyFont="1" applyBorder="1" applyAlignment="1">
      <alignment vertical="center"/>
    </xf>
    <xf numFmtId="0" fontId="22" fillId="0" borderId="30" xfId="1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2" fontId="33" fillId="6" borderId="4" xfId="0" applyNumberFormat="1" applyFont="1" applyFill="1" applyBorder="1" applyAlignment="1">
      <alignment horizontal="right" vertical="center"/>
    </xf>
    <xf numFmtId="0" fontId="34" fillId="0" borderId="0" xfId="14" applyFont="1">
      <alignment vertic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/>
    <xf numFmtId="2" fontId="22" fillId="6" borderId="30" xfId="14" applyNumberFormat="1" applyFont="1" applyFill="1" applyBorder="1" applyAlignment="1">
      <alignment horizontal="center" vertical="center"/>
    </xf>
    <xf numFmtId="2" fontId="0" fillId="0" borderId="30" xfId="0" applyNumberFormat="1" applyBorder="1"/>
    <xf numFmtId="0" fontId="22" fillId="0" borderId="30" xfId="10" applyFont="1" applyBorder="1" applyAlignment="1">
      <alignment vertical="center"/>
    </xf>
    <xf numFmtId="43" fontId="24" fillId="0" borderId="32" xfId="0" applyNumberFormat="1" applyFont="1" applyBorder="1"/>
    <xf numFmtId="43" fontId="17" fillId="0" borderId="32" xfId="0" applyNumberFormat="1" applyFont="1" applyBorder="1"/>
    <xf numFmtId="4" fontId="24" fillId="0" borderId="32" xfId="0" applyNumberFormat="1" applyFont="1" applyBorder="1"/>
    <xf numFmtId="4" fontId="17" fillId="0" borderId="0" xfId="10" applyNumberFormat="1" applyFont="1" applyAlignment="1">
      <alignment horizontal="right" vertical="center"/>
    </xf>
    <xf numFmtId="0" fontId="17" fillId="4" borderId="12" xfId="68" applyFont="1" applyFill="1" applyBorder="1" applyAlignment="1">
      <alignment horizontal="right" vertical="center"/>
    </xf>
    <xf numFmtId="0" fontId="22" fillId="4" borderId="13" xfId="68" applyFont="1" applyFill="1" applyBorder="1" applyAlignment="1">
      <alignment horizontal="right" vertical="center"/>
    </xf>
    <xf numFmtId="10" fontId="22" fillId="6" borderId="13" xfId="68" applyNumberFormat="1" applyFont="1" applyFill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 wrapText="1"/>
    </xf>
    <xf numFmtId="2" fontId="52" fillId="0" borderId="30" xfId="0" applyNumberFormat="1" applyFont="1" applyBorder="1"/>
    <xf numFmtId="0" fontId="22" fillId="0" borderId="0" xfId="10" applyFont="1" applyAlignment="1">
      <alignment horizontal="center" vertical="center"/>
    </xf>
    <xf numFmtId="0" fontId="53" fillId="0" borderId="0" xfId="10" applyFont="1" applyAlignment="1">
      <alignment horizontal="center" vertical="center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15" xfId="68" applyFont="1" applyFill="1" applyBorder="1" applyAlignment="1">
      <alignment horizontal="center" vertical="center"/>
    </xf>
    <xf numFmtId="0" fontId="22" fillId="4" borderId="16" xfId="68" applyFont="1" applyFill="1" applyBorder="1" applyAlignment="1">
      <alignment horizontal="center" vertical="center"/>
    </xf>
    <xf numFmtId="0" fontId="22" fillId="4" borderId="17" xfId="68" applyFont="1" applyFill="1" applyBorder="1" applyAlignment="1">
      <alignment horizontal="center" vertical="center"/>
    </xf>
    <xf numFmtId="0" fontId="22" fillId="4" borderId="5" xfId="68" applyFont="1" applyFill="1" applyBorder="1" applyAlignment="1">
      <alignment horizontal="center" vertical="center" wrapText="1"/>
    </xf>
    <xf numFmtId="0" fontId="22" fillId="4" borderId="12" xfId="68" applyFont="1" applyFill="1" applyBorder="1" applyAlignment="1">
      <alignment horizontal="center" vertical="center" wrapText="1"/>
    </xf>
    <xf numFmtId="0" fontId="22" fillId="4" borderId="4" xfId="68" quotePrefix="1" applyFont="1" applyFill="1" applyBorder="1" applyAlignment="1">
      <alignment horizontal="center" vertical="center" wrapText="1"/>
    </xf>
    <xf numFmtId="0" fontId="22" fillId="4" borderId="13" xfId="68" quotePrefix="1" applyFont="1" applyFill="1" applyBorder="1" applyAlignment="1">
      <alignment horizontal="center" vertical="center" wrapText="1"/>
    </xf>
    <xf numFmtId="0" fontId="22" fillId="4" borderId="4" xfId="68" applyFont="1" applyFill="1" applyBorder="1" applyAlignment="1">
      <alignment horizontal="center" vertical="center" wrapText="1"/>
    </xf>
    <xf numFmtId="0" fontId="22" fillId="4" borderId="13" xfId="68" applyFont="1" applyFill="1" applyBorder="1" applyAlignment="1">
      <alignment horizontal="center" vertical="center" wrapText="1"/>
    </xf>
    <xf numFmtId="0" fontId="22" fillId="4" borderId="11" xfId="68" applyFont="1" applyFill="1" applyBorder="1" applyAlignment="1">
      <alignment horizontal="center" vertical="center" wrapText="1"/>
    </xf>
    <xf numFmtId="2" fontId="22" fillId="6" borderId="6" xfId="10" applyNumberFormat="1" applyFont="1" applyFill="1" applyBorder="1" applyAlignment="1">
      <alignment horizontal="center" vertical="center"/>
    </xf>
    <xf numFmtId="2" fontId="22" fillId="6" borderId="3" xfId="10" applyNumberFormat="1" applyFont="1" applyFill="1" applyBorder="1" applyAlignment="1">
      <alignment horizontal="center" vertical="center"/>
    </xf>
    <xf numFmtId="2" fontId="22" fillId="6" borderId="9" xfId="10" applyNumberFormat="1" applyFont="1" applyFill="1" applyBorder="1" applyAlignment="1">
      <alignment horizontal="center" vertical="center"/>
    </xf>
    <xf numFmtId="10" fontId="22" fillId="6" borderId="6" xfId="10" applyNumberFormat="1" applyFont="1" applyFill="1" applyBorder="1" applyAlignment="1">
      <alignment horizontal="center" vertical="center"/>
    </xf>
    <xf numFmtId="10" fontId="22" fillId="6" borderId="3" xfId="10" applyNumberFormat="1" applyFont="1" applyFill="1" applyBorder="1" applyAlignment="1">
      <alignment horizontal="center" vertical="center"/>
    </xf>
    <xf numFmtId="10" fontId="22" fillId="6" borderId="9" xfId="10" applyNumberFormat="1" applyFont="1" applyFill="1" applyBorder="1" applyAlignment="1">
      <alignment horizontal="center" vertical="center"/>
    </xf>
    <xf numFmtId="2" fontId="17" fillId="0" borderId="6" xfId="10" applyNumberFormat="1" applyFont="1" applyBorder="1" applyAlignment="1">
      <alignment horizontal="center" vertical="center"/>
    </xf>
    <xf numFmtId="2" fontId="17" fillId="0" borderId="3" xfId="10" applyNumberFormat="1" applyFont="1" applyBorder="1" applyAlignment="1">
      <alignment horizontal="center" vertical="center"/>
    </xf>
    <xf numFmtId="2" fontId="17" fillId="0" borderId="9" xfId="10" applyNumberFormat="1" applyFont="1" applyBorder="1" applyAlignment="1">
      <alignment horizontal="center" vertical="center"/>
    </xf>
    <xf numFmtId="10" fontId="17" fillId="0" borderId="6" xfId="10" applyNumberFormat="1" applyFont="1" applyBorder="1" applyAlignment="1">
      <alignment horizontal="center" vertical="center"/>
    </xf>
    <xf numFmtId="10" fontId="17" fillId="0" borderId="3" xfId="10" applyNumberFormat="1" applyFont="1" applyBorder="1" applyAlignment="1">
      <alignment horizontal="center" vertical="center"/>
    </xf>
    <xf numFmtId="10" fontId="17" fillId="0" borderId="9" xfId="10" applyNumberFormat="1" applyFont="1" applyBorder="1" applyAlignment="1">
      <alignment horizontal="center" vertical="center"/>
    </xf>
    <xf numFmtId="0" fontId="17" fillId="0" borderId="6" xfId="10" applyFont="1" applyBorder="1" applyAlignment="1">
      <alignment horizontal="center" vertical="center"/>
    </xf>
    <xf numFmtId="0" fontId="17" fillId="0" borderId="3" xfId="10" applyFont="1" applyBorder="1" applyAlignment="1">
      <alignment horizontal="center" vertical="center"/>
    </xf>
    <xf numFmtId="0" fontId="17" fillId="0" borderId="9" xfId="10" applyFont="1" applyBorder="1" applyAlignment="1">
      <alignment horizontal="center" vertical="center"/>
    </xf>
    <xf numFmtId="0" fontId="17" fillId="0" borderId="0" xfId="10" applyFont="1" applyAlignment="1">
      <alignment horizontal="left" vertical="center" wrapText="1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17" fillId="4" borderId="6" xfId="14" applyFont="1" applyFill="1" applyBorder="1" applyAlignment="1">
      <alignment horizontal="center" vertical="center"/>
    </xf>
    <xf numFmtId="0" fontId="17" fillId="4" borderId="3" xfId="14" applyFont="1" applyFill="1" applyBorder="1" applyAlignment="1">
      <alignment horizontal="center" vertical="center"/>
    </xf>
    <xf numFmtId="0" fontId="17" fillId="4" borderId="9" xfId="14" applyFont="1" applyFill="1" applyBorder="1" applyAlignment="1">
      <alignment horizontal="center" vertical="center"/>
    </xf>
    <xf numFmtId="0" fontId="22" fillId="0" borderId="4" xfId="14" quotePrefix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33" fillId="0" borderId="0" xfId="14" applyFont="1" applyAlignment="1">
      <alignment horizontal="center" vertical="center"/>
    </xf>
    <xf numFmtId="0" fontId="33" fillId="0" borderId="0" xfId="10" applyFont="1" applyAlignment="1">
      <alignment horizontal="center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</cellXfs>
  <cellStyles count="783">
    <cellStyle name="20% - Accent1" xfId="476" builtinId="30" customBuiltin="1"/>
    <cellStyle name="20% - Accent2" xfId="479" builtinId="34" customBuiltin="1"/>
    <cellStyle name="20% - Accent3" xfId="482" builtinId="38" customBuiltin="1"/>
    <cellStyle name="20% - Accent4" xfId="485" builtinId="42" customBuiltin="1"/>
    <cellStyle name="20% - Accent5" xfId="488" builtinId="46" customBuiltin="1"/>
    <cellStyle name="20% - Accent6" xfId="491" builtinId="50" customBuiltin="1"/>
    <cellStyle name="40% - Accent1" xfId="477" builtinId="31" customBuiltin="1"/>
    <cellStyle name="40% - Accent2" xfId="480" builtinId="35" customBuiltin="1"/>
    <cellStyle name="40% - Accent3" xfId="483" builtinId="39" customBuiltin="1"/>
    <cellStyle name="40% - Accent4" xfId="486" builtinId="43" customBuiltin="1"/>
    <cellStyle name="40% - Accent5" xfId="489" builtinId="47" customBuiltin="1"/>
    <cellStyle name="40% - Accent6" xfId="492" builtinId="51" customBuiltin="1"/>
    <cellStyle name="60% - Accent1 2" xfId="498"/>
    <cellStyle name="60% - Accent2 2" xfId="499"/>
    <cellStyle name="60% - Accent3 2" xfId="500"/>
    <cellStyle name="60% - Accent4 2" xfId="501"/>
    <cellStyle name="60% - Accent5 2" xfId="502"/>
    <cellStyle name="60% - Accent6 2" xfId="503"/>
    <cellStyle name="Accent1" xfId="475" builtinId="29" customBuiltin="1"/>
    <cellStyle name="Accent2" xfId="478" builtinId="33" customBuiltin="1"/>
    <cellStyle name="Accent3" xfId="481" builtinId="37" customBuiltin="1"/>
    <cellStyle name="Accent4" xfId="484" builtinId="41" customBuiltin="1"/>
    <cellStyle name="Accent5" xfId="487" builtinId="45" customBuiltin="1"/>
    <cellStyle name="Accent6" xfId="490" builtinId="49" customBuiltin="1"/>
    <cellStyle name="Bad" xfId="466" builtinId="27" customBuiltin="1"/>
    <cellStyle name="Body" xfId="1"/>
    <cellStyle name="Calculation" xfId="469" builtinId="22" customBuiltin="1"/>
    <cellStyle name="Check Cell" xfId="471" builtinId="23" customBuiltin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0 5" xfId="534"/>
    <cellStyle name="Comma 11" xfId="97"/>
    <cellStyle name="Comma 11 2" xfId="19"/>
    <cellStyle name="Comma 11 2 10" xfId="436"/>
    <cellStyle name="Comma 11 2 11" xfId="507"/>
    <cellStyle name="Comma 11 2 12" xfId="574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2 9" xfId="538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1 3" xfId="569"/>
    <cellStyle name="Comma 12" xfId="100"/>
    <cellStyle name="Comma 12 2" xfId="530"/>
    <cellStyle name="Comma 13" xfId="101"/>
    <cellStyle name="Comma 13 2" xfId="570"/>
    <cellStyle name="Comma 14" xfId="102"/>
    <cellStyle name="Comma 14 2" xfId="531"/>
    <cellStyle name="Comma 15" xfId="103"/>
    <cellStyle name="Comma 15 2" xfId="104"/>
    <cellStyle name="Comma 15 2 2" xfId="105"/>
    <cellStyle name="Comma 15 2 2 2" xfId="106"/>
    <cellStyle name="Comma 15 2 2 2 2" xfId="580"/>
    <cellStyle name="Comma 15 2 2 3" xfId="249"/>
    <cellStyle name="Comma 15 2 2 3 2" xfId="664"/>
    <cellStyle name="Comma 15 2 2 4" xfId="262"/>
    <cellStyle name="Comma 15 2 2 4 2" xfId="676"/>
    <cellStyle name="Comma 15 2 2 5" xfId="579"/>
    <cellStyle name="Comma 15 2 3" xfId="107"/>
    <cellStyle name="Comma 15 2 3 2" xfId="581"/>
    <cellStyle name="Comma 15 2 4" xfId="108"/>
    <cellStyle name="Comma 15 2 4 2" xfId="582"/>
    <cellStyle name="Comma 15 2 5" xfId="109"/>
    <cellStyle name="Comma 15 2 5 2" xfId="583"/>
    <cellStyle name="Comma 15 2 6" xfId="110"/>
    <cellStyle name="Comma 15 2 6 2" xfId="584"/>
    <cellStyle name="Comma 15 2 7" xfId="111"/>
    <cellStyle name="Comma 15 2 7 2" xfId="585"/>
    <cellStyle name="Comma 15 2 8" xfId="112"/>
    <cellStyle name="Comma 15 2 8 2" xfId="586"/>
    <cellStyle name="Comma 15 2 9" xfId="578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7 2" xfId="587"/>
    <cellStyle name="Comma 18" xfId="128"/>
    <cellStyle name="Comma 18 2" xfId="129"/>
    <cellStyle name="Comma 18 2 2" xfId="130"/>
    <cellStyle name="Comma 18 2 2 2" xfId="590"/>
    <cellStyle name="Comma 18 2 3" xfId="589"/>
    <cellStyle name="Comma 18 3" xfId="588"/>
    <cellStyle name="Comma 19" xfId="131"/>
    <cellStyle name="Comma 19 2" xfId="591"/>
    <cellStyle name="Comma 2" xfId="24"/>
    <cellStyle name="Comma 2 10" xfId="248"/>
    <cellStyle name="Comma 2 10 2" xfId="663"/>
    <cellStyle name="Comma 2 11" xfId="261"/>
    <cellStyle name="Comma 2 11 2" xfId="675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19" xfId="496"/>
    <cellStyle name="Comma 2 2" xfId="25"/>
    <cellStyle name="Comma 2 2 10" xfId="326"/>
    <cellStyle name="Comma 2 2 10 2" xfId="713"/>
    <cellStyle name="Comma 2 2 11" xfId="283"/>
    <cellStyle name="Comma 2 2 11 2" xfId="692"/>
    <cellStyle name="Comma 2 2 12" xfId="332"/>
    <cellStyle name="Comma 2 2 12 2" xfId="718"/>
    <cellStyle name="Comma 2 2 13" xfId="277"/>
    <cellStyle name="Comma 2 2 13 2" xfId="687"/>
    <cellStyle name="Comma 2 2 14" xfId="337"/>
    <cellStyle name="Comma 2 2 14 2" xfId="722"/>
    <cellStyle name="Comma 2 2 15" xfId="74"/>
    <cellStyle name="Comma 2 2 16" xfId="512"/>
    <cellStyle name="Comma 2 2 2" xfId="63"/>
    <cellStyle name="Comma 2 2 2 2" xfId="134"/>
    <cellStyle name="Comma 2 2 2 2 2" xfId="593"/>
    <cellStyle name="Comma 2 2 2 3" xfId="288"/>
    <cellStyle name="Comma 2 2 2 3 2" xfId="696"/>
    <cellStyle name="Comma 2 2 2 4" xfId="325"/>
    <cellStyle name="Comma 2 2 2 4 2" xfId="712"/>
    <cellStyle name="Comma 2 2 2 5" xfId="284"/>
    <cellStyle name="Comma 2 2 2 5 2" xfId="693"/>
    <cellStyle name="Comma 2 2 2 6" xfId="331"/>
    <cellStyle name="Comma 2 2 2 6 2" xfId="717"/>
    <cellStyle name="Comma 2 2 2 7" xfId="278"/>
    <cellStyle name="Comma 2 2 2 7 2" xfId="688"/>
    <cellStyle name="Comma 2 2 2 8" xfId="335"/>
    <cellStyle name="Comma 2 2 2 8 2" xfId="721"/>
    <cellStyle name="Comma 2 2 3" xfId="133"/>
    <cellStyle name="Comma 2 2 3 2" xfId="542"/>
    <cellStyle name="Comma 2 2 3 3" xfId="592"/>
    <cellStyle name="Comma 2 2 4" xfId="136"/>
    <cellStyle name="Comma 2 2 4 2" xfId="595"/>
    <cellStyle name="Comma 2 2 5" xfId="137"/>
    <cellStyle name="Comma 2 2 5 2" xfId="596"/>
    <cellStyle name="Comma 2 2 6" xfId="138"/>
    <cellStyle name="Comma 2 2 6 2" xfId="597"/>
    <cellStyle name="Comma 2 2 7" xfId="139"/>
    <cellStyle name="Comma 2 2 7 2" xfId="598"/>
    <cellStyle name="Comma 2 2 8" xfId="140"/>
    <cellStyle name="Comma 2 2 8 2" xfId="599"/>
    <cellStyle name="Comma 2 2 9" xfId="287"/>
    <cellStyle name="Comma 2 2 9 2" xfId="695"/>
    <cellStyle name="Comma 2 3" xfId="26"/>
    <cellStyle name="Comma 2 3 10" xfId="513"/>
    <cellStyle name="Comma 2 3 2" xfId="141"/>
    <cellStyle name="Comma 2 3 2 2" xfId="543"/>
    <cellStyle name="Comma 2 3 2 3" xfId="600"/>
    <cellStyle name="Comma 2 3 3" xfId="296"/>
    <cellStyle name="Comma 2 3 3 2" xfId="697"/>
    <cellStyle name="Comma 2 3 4" xfId="313"/>
    <cellStyle name="Comma 2 3 4 2" xfId="708"/>
    <cellStyle name="Comma 2 3 5" xfId="299"/>
    <cellStyle name="Comma 2 3 5 2" xfId="698"/>
    <cellStyle name="Comma 2 3 6" xfId="312"/>
    <cellStyle name="Comma 2 3 6 2" xfId="707"/>
    <cellStyle name="Comma 2 3 7" xfId="300"/>
    <cellStyle name="Comma 2 3 7 2" xfId="699"/>
    <cellStyle name="Comma 2 3 8" xfId="311"/>
    <cellStyle name="Comma 2 3 8 2" xfId="706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5 2" xfId="541"/>
    <cellStyle name="Comma 2 6" xfId="144"/>
    <cellStyle name="Comma 2 6 2" xfId="511"/>
    <cellStyle name="Comma 2 7" xfId="145"/>
    <cellStyle name="Comma 2 8" xfId="146"/>
    <cellStyle name="Comma 2 9" xfId="147"/>
    <cellStyle name="Comma 20" xfId="148"/>
    <cellStyle name="Comma 20 2" xfId="602"/>
    <cellStyle name="Comma 21" xfId="149"/>
    <cellStyle name="Comma 21 2" xfId="603"/>
    <cellStyle name="Comma 22" xfId="150"/>
    <cellStyle name="Comma 22 2" xfId="604"/>
    <cellStyle name="Comma 23" xfId="151"/>
    <cellStyle name="Comma 23 2" xfId="605"/>
    <cellStyle name="Comma 24" xfId="152"/>
    <cellStyle name="Comma 24 2" xfId="606"/>
    <cellStyle name="Comma 25" xfId="153"/>
    <cellStyle name="Comma 25 2" xfId="607"/>
    <cellStyle name="Comma 26" xfId="154"/>
    <cellStyle name="Comma 26 2" xfId="608"/>
    <cellStyle name="Comma 27" xfId="155"/>
    <cellStyle name="Comma 27 2" xfId="609"/>
    <cellStyle name="Comma 28" xfId="156"/>
    <cellStyle name="Comma 28 2" xfId="610"/>
    <cellStyle name="Comma 29" xfId="157"/>
    <cellStyle name="Comma 29 2" xfId="611"/>
    <cellStyle name="Comma 3" xfId="27"/>
    <cellStyle name="Comma 3 10" xfId="76"/>
    <cellStyle name="Comma 3 11" xfId="514"/>
    <cellStyle name="Comma 3 2" xfId="62"/>
    <cellStyle name="Comma 3 2 2" xfId="77"/>
    <cellStyle name="Comma 3 2 2 2" xfId="551"/>
    <cellStyle name="Comma 3 2 3" xfId="437"/>
    <cellStyle name="Comma 3 2 4" xfId="522"/>
    <cellStyle name="Comma 3 2 5" xfId="575"/>
    <cellStyle name="Comma 3 3" xfId="158"/>
    <cellStyle name="Comma 3 3 2" xfId="544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0 2" xfId="612"/>
    <cellStyle name="Comma 31" xfId="160"/>
    <cellStyle name="Comma 31 2" xfId="613"/>
    <cellStyle name="Comma 32" xfId="161"/>
    <cellStyle name="Comma 32 2" xfId="614"/>
    <cellStyle name="Comma 33" xfId="162"/>
    <cellStyle name="Comma 33 2" xfId="615"/>
    <cellStyle name="Comma 34" xfId="163"/>
    <cellStyle name="Comma 34 2" xfId="616"/>
    <cellStyle name="Comma 35" xfId="164"/>
    <cellStyle name="Comma 35 2" xfId="617"/>
    <cellStyle name="Comma 36" xfId="165"/>
    <cellStyle name="Comma 36 2" xfId="618"/>
    <cellStyle name="Comma 37" xfId="166"/>
    <cellStyle name="Comma 37 2" xfId="619"/>
    <cellStyle name="Comma 38" xfId="250"/>
    <cellStyle name="Comma 38 2" xfId="665"/>
    <cellStyle name="Comma 39" xfId="255"/>
    <cellStyle name="Comma 39 2" xfId="669"/>
    <cellStyle name="Comma 4" xfId="28"/>
    <cellStyle name="Comma 4 10" xfId="78"/>
    <cellStyle name="Comma 4 11" xfId="515"/>
    <cellStyle name="Comma 4 2" xfId="64"/>
    <cellStyle name="Comma 4 2 10" xfId="438"/>
    <cellStyle name="Comma 4 2 11" xfId="523"/>
    <cellStyle name="Comma 4 2 12" xfId="576"/>
    <cellStyle name="Comma 4 2 2" xfId="168"/>
    <cellStyle name="Comma 4 2 2 2" xfId="552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3 2" xfId="545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0 2" xfId="671"/>
    <cellStyle name="Comma 41" xfId="259"/>
    <cellStyle name="Comma 41 2" xfId="673"/>
    <cellStyle name="Comma 42" xfId="263"/>
    <cellStyle name="Comma 42 2" xfId="677"/>
    <cellStyle name="Comma 43" xfId="267"/>
    <cellStyle name="Comma 43 2" xfId="680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0 2" xfId="622"/>
    <cellStyle name="Comma 5 11" xfId="309"/>
    <cellStyle name="Comma 5 11 2" xfId="705"/>
    <cellStyle name="Comma 5 12" xfId="303"/>
    <cellStyle name="Comma 5 12 2" xfId="700"/>
    <cellStyle name="Comma 5 13" xfId="308"/>
    <cellStyle name="Comma 5 13 2" xfId="704"/>
    <cellStyle name="Comma 5 14" xfId="304"/>
    <cellStyle name="Comma 5 14 2" xfId="701"/>
    <cellStyle name="Comma 5 15" xfId="307"/>
    <cellStyle name="Comma 5 15 2" xfId="703"/>
    <cellStyle name="Comma 5 16" xfId="305"/>
    <cellStyle name="Comma 5 16 2" xfId="702"/>
    <cellStyle name="Comma 5 17" xfId="80"/>
    <cellStyle name="Comma 5 18" xfId="439"/>
    <cellStyle name="Comma 5 19" xfId="516"/>
    <cellStyle name="Comma 5 2" xfId="176"/>
    <cellStyle name="Comma 5 2 10" xfId="621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2 9" xfId="546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2 2" xfId="626"/>
    <cellStyle name="Comma 5 4 2 3" xfId="251"/>
    <cellStyle name="Comma 5 4 2 3 2" xfId="666"/>
    <cellStyle name="Comma 5 4 2 4" xfId="264"/>
    <cellStyle name="Comma 5 4 2 4 2" xfId="678"/>
    <cellStyle name="Comma 5 4 2 5" xfId="625"/>
    <cellStyle name="Comma 5 4 3" xfId="624"/>
    <cellStyle name="Comma 5 5" xfId="190"/>
    <cellStyle name="Comma 5 5 2" xfId="627"/>
    <cellStyle name="Comma 5 6" xfId="191"/>
    <cellStyle name="Comma 5 6 2" xfId="628"/>
    <cellStyle name="Comma 5 7" xfId="192"/>
    <cellStyle name="Comma 5 7 2" xfId="629"/>
    <cellStyle name="Comma 5 8" xfId="193"/>
    <cellStyle name="Comma 5 8 2" xfId="630"/>
    <cellStyle name="Comma 5 9" xfId="194"/>
    <cellStyle name="Comma 5 9 2" xfId="631"/>
    <cellStyle name="Comma 50" xfId="573"/>
    <cellStyle name="Comma 51" xfId="520"/>
    <cellStyle name="Comma 52" xfId="781"/>
    <cellStyle name="Comma 53" xfId="778"/>
    <cellStyle name="Comma 54" xfId="577"/>
    <cellStyle name="Comma 55" xfId="633"/>
    <cellStyle name="Comma 6" xfId="48"/>
    <cellStyle name="Comma 6 2" xfId="49"/>
    <cellStyle name="Comma 6 3" xfId="50"/>
    <cellStyle name="Comma 6 4" xfId="51"/>
    <cellStyle name="Comma 6 5" xfId="81"/>
    <cellStyle name="Comma 6 5 2" xfId="549"/>
    <cellStyle name="Comma 6 6" xfId="519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11" xfId="524"/>
    <cellStyle name="Comma 8 2" xfId="197"/>
    <cellStyle name="Comma 8 2 2" xfId="553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omma 9 9" xfId="561"/>
    <cellStyle name="Curren - Style2" xfId="3"/>
    <cellStyle name="Explanatory Text" xfId="473" builtinId="53" customBuiltin="1"/>
    <cellStyle name="Good" xfId="465" builtinId="26" customBuiltin="1"/>
    <cellStyle name="Grey" xfId="4"/>
    <cellStyle name="Header1" xfId="5"/>
    <cellStyle name="Header2" xfId="6"/>
    <cellStyle name="Heading 1" xfId="461" builtinId="16" customBuiltin="1"/>
    <cellStyle name="Heading 2" xfId="462" builtinId="17" customBuiltin="1"/>
    <cellStyle name="Heading 3" xfId="463" builtinId="18" customBuiltin="1"/>
    <cellStyle name="Heading 4" xfId="464" builtinId="19" customBuiltin="1"/>
    <cellStyle name="Hyperlink 2" xfId="199"/>
    <cellStyle name="Input" xfId="467" builtinId="20" customBuiltin="1"/>
    <cellStyle name="Input [yellow]" xfId="7"/>
    <cellStyle name="Input [yellow] 2" xfId="505"/>
    <cellStyle name="Linked Cell" xfId="470" builtinId="24" customBuiltin="1"/>
    <cellStyle name="Neutral 2" xfId="497"/>
    <cellStyle name="no dec" xfId="8"/>
    <cellStyle name="Normal" xfId="0" builtinId="0"/>
    <cellStyle name="Normal - Style1" xfId="9"/>
    <cellStyle name="Normal 10" xfId="67"/>
    <cellStyle name="Normal 10 10" xfId="441"/>
    <cellStyle name="Normal 10 11" xfId="526"/>
    <cellStyle name="Normal 10 2" xfId="200"/>
    <cellStyle name="Normal 10 2 2" xfId="555"/>
    <cellStyle name="Normal 10 3" xfId="322"/>
    <cellStyle name="Normal 10 3 2" xfId="709"/>
    <cellStyle name="Normal 10 4" xfId="364"/>
    <cellStyle name="Normal 10 4 2" xfId="740"/>
    <cellStyle name="Normal 10 5" xfId="382"/>
    <cellStyle name="Normal 10 5 2" xfId="750"/>
    <cellStyle name="Normal 10 6" xfId="398"/>
    <cellStyle name="Normal 10 6 2" xfId="758"/>
    <cellStyle name="Normal 10 7" xfId="414"/>
    <cellStyle name="Normal 10 7 2" xfId="766"/>
    <cellStyle name="Normal 10 8" xfId="428"/>
    <cellStyle name="Normal 10 8 2" xfId="773"/>
    <cellStyle name="Normal 10 9" xfId="83"/>
    <cellStyle name="Normal 11" xfId="69"/>
    <cellStyle name="Normal 11 10" xfId="442"/>
    <cellStyle name="Normal 11 11" xfId="528"/>
    <cellStyle name="Normal 11 2" xfId="201"/>
    <cellStyle name="Normal 11 2 2" xfId="557"/>
    <cellStyle name="Normal 11 3" xfId="323"/>
    <cellStyle name="Normal 11 3 2" xfId="710"/>
    <cellStyle name="Normal 11 4" xfId="357"/>
    <cellStyle name="Normal 11 4 2" xfId="736"/>
    <cellStyle name="Normal 11 5" xfId="375"/>
    <cellStyle name="Normal 11 5 2" xfId="746"/>
    <cellStyle name="Normal 11 6" xfId="393"/>
    <cellStyle name="Normal 11 6 2" xfId="756"/>
    <cellStyle name="Normal 11 7" xfId="409"/>
    <cellStyle name="Normal 11 7 2" xfId="764"/>
    <cellStyle name="Normal 11 8" xfId="425"/>
    <cellStyle name="Normal 11 8 2" xfId="772"/>
    <cellStyle name="Normal 11 9" xfId="84"/>
    <cellStyle name="Normal 12" xfId="70"/>
    <cellStyle name="Normal 12 10" xfId="443"/>
    <cellStyle name="Normal 12 11" xfId="529"/>
    <cellStyle name="Normal 12 2" xfId="202"/>
    <cellStyle name="Normal 12 2 2" xfId="558"/>
    <cellStyle name="Normal 12 3" xfId="324"/>
    <cellStyle name="Normal 12 3 2" xfId="711"/>
    <cellStyle name="Normal 12 4" xfId="285"/>
    <cellStyle name="Normal 12 4 2" xfId="694"/>
    <cellStyle name="Normal 12 5" xfId="329"/>
    <cellStyle name="Normal 12 5 2" xfId="715"/>
    <cellStyle name="Normal 12 6" xfId="280"/>
    <cellStyle name="Normal 12 6 2" xfId="690"/>
    <cellStyle name="Normal 12 7" xfId="333"/>
    <cellStyle name="Normal 12 7 2" xfId="719"/>
    <cellStyle name="Normal 12 8" xfId="276"/>
    <cellStyle name="Normal 12 8 2" xfId="686"/>
    <cellStyle name="Normal 12 9" xfId="85"/>
    <cellStyle name="Normal 13" xfId="203"/>
    <cellStyle name="Normal 13 2" xfId="560"/>
    <cellStyle name="Normal 13 3" xfId="563"/>
    <cellStyle name="Normal 13 4" xfId="559"/>
    <cellStyle name="Normal 14" xfId="204"/>
    <cellStyle name="Normal 14 2" xfId="68"/>
    <cellStyle name="Normal 14 2 2" xfId="86"/>
    <cellStyle name="Normal 14 2 2 2" xfId="556"/>
    <cellStyle name="Normal 14 2 3" xfId="444"/>
    <cellStyle name="Normal 14 2 4" xfId="527"/>
    <cellStyle name="Normal 14 3" xfId="495"/>
    <cellStyle name="Normal 15" xfId="18"/>
    <cellStyle name="Normal 15 10" xfId="445"/>
    <cellStyle name="Normal 15 11" xfId="506"/>
    <cellStyle name="Normal 15 2" xfId="205"/>
    <cellStyle name="Normal 15 2 2" xfId="537"/>
    <cellStyle name="Normal 15 3" xfId="327"/>
    <cellStyle name="Normal 15 3 2" xfId="714"/>
    <cellStyle name="Normal 15 4" xfId="282"/>
    <cellStyle name="Normal 15 4 2" xfId="691"/>
    <cellStyle name="Normal 15 5" xfId="359"/>
    <cellStyle name="Normal 15 5 2" xfId="737"/>
    <cellStyle name="Normal 15 6" xfId="377"/>
    <cellStyle name="Normal 15 6 2" xfId="747"/>
    <cellStyle name="Normal 15 7" xfId="395"/>
    <cellStyle name="Normal 15 7 2" xfId="757"/>
    <cellStyle name="Normal 15 8" xfId="411"/>
    <cellStyle name="Normal 15 8 2" xfId="765"/>
    <cellStyle name="Normal 15 9" xfId="87"/>
    <cellStyle name="Normal 16" xfId="206"/>
    <cellStyle name="Normal 16 2" xfId="494"/>
    <cellStyle name="Normal 17" xfId="207"/>
    <cellStyle name="Normal 17 2" xfId="564"/>
    <cellStyle name="Normal 18" xfId="61"/>
    <cellStyle name="Normal 18 10" xfId="446"/>
    <cellStyle name="Normal 18 11" xfId="521"/>
    <cellStyle name="Normal 18 2" xfId="208"/>
    <cellStyle name="Normal 18 2 2" xfId="210"/>
    <cellStyle name="Normal 18 2 2 2" xfId="634"/>
    <cellStyle name="Normal 18 2 3" xfId="253"/>
    <cellStyle name="Normal 18 2 3 2" xfId="667"/>
    <cellStyle name="Normal 18 2 4" xfId="266"/>
    <cellStyle name="Normal 18 2 4 2" xfId="679"/>
    <cellStyle name="Normal 18 2 5" xfId="550"/>
    <cellStyle name="Normal 18 3" xfId="330"/>
    <cellStyle name="Normal 18 3 2" xfId="716"/>
    <cellStyle name="Normal 18 4" xfId="279"/>
    <cellStyle name="Normal 18 4 2" xfId="689"/>
    <cellStyle name="Normal 18 5" xfId="334"/>
    <cellStyle name="Normal 18 5 2" xfId="720"/>
    <cellStyle name="Normal 18 6" xfId="275"/>
    <cellStyle name="Normal 18 6 2" xfId="685"/>
    <cellStyle name="Normal 18 7" xfId="338"/>
    <cellStyle name="Normal 18 7 2" xfId="723"/>
    <cellStyle name="Normal 18 8" xfId="273"/>
    <cellStyle name="Normal 18 8 2" xfId="684"/>
    <cellStyle name="Normal 18 9" xfId="88"/>
    <cellStyle name="Normal 19" xfId="211"/>
    <cellStyle name="Normal 19 2" xfId="565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0 2" xfId="566"/>
    <cellStyle name="Normal 21" xfId="216"/>
    <cellStyle name="Normal 21 2" xfId="567"/>
    <cellStyle name="Normal 22" xfId="217"/>
    <cellStyle name="Normal 22 2" xfId="533"/>
    <cellStyle name="Normal 23" xfId="218"/>
    <cellStyle name="Normal 23 2" xfId="568"/>
    <cellStyle name="Normal 24" xfId="219"/>
    <cellStyle name="Normal 24 2" xfId="504"/>
    <cellStyle name="Normal 24 3" xfId="637"/>
    <cellStyle name="Normal 25" xfId="220"/>
    <cellStyle name="Normal 25 2" xfId="562"/>
    <cellStyle name="Normal 25 3" xfId="638"/>
    <cellStyle name="Normal 26" xfId="221"/>
    <cellStyle name="Normal 26 2" xfId="572"/>
    <cellStyle name="Normal 26 3" xfId="639"/>
    <cellStyle name="Normal 27" xfId="222"/>
    <cellStyle name="Normal 27 2" xfId="640"/>
    <cellStyle name="Normal 28" xfId="223"/>
    <cellStyle name="Normal 28 2" xfId="641"/>
    <cellStyle name="Normal 29" xfId="224"/>
    <cellStyle name="Normal 29 2" xfId="642"/>
    <cellStyle name="Normal 3" xfId="13"/>
    <cellStyle name="Normal 3 10" xfId="270"/>
    <cellStyle name="Normal 3 10 2" xfId="683"/>
    <cellStyle name="Normal 3 11" xfId="343"/>
    <cellStyle name="Normal 3 11 2" xfId="726"/>
    <cellStyle name="Normal 3 12" xfId="135"/>
    <cellStyle name="Normal 3 12 2" xfId="594"/>
    <cellStyle name="Normal 3 13" xfId="361"/>
    <cellStyle name="Normal 3 13 2" xfId="738"/>
    <cellStyle name="Normal 3 14" xfId="379"/>
    <cellStyle name="Normal 3 14 2" xfId="748"/>
    <cellStyle name="Normal 3 2" xfId="33"/>
    <cellStyle name="Normal 3 2 2" xfId="58"/>
    <cellStyle name="Normal 3 2 3" xfId="226"/>
    <cellStyle name="Normal 3 2 3 2" xfId="644"/>
    <cellStyle name="Normal 3 2 4" xfId="342"/>
    <cellStyle name="Normal 3 2 4 2" xfId="725"/>
    <cellStyle name="Normal 3 2 5" xfId="269"/>
    <cellStyle name="Normal 3 2 5 2" xfId="682"/>
    <cellStyle name="Normal 3 2 6" xfId="344"/>
    <cellStyle name="Normal 3 2 6 2" xfId="727"/>
    <cellStyle name="Normal 3 2 7" xfId="143"/>
    <cellStyle name="Normal 3 2 7 2" xfId="601"/>
    <cellStyle name="Normal 3 2 8" xfId="363"/>
    <cellStyle name="Normal 3 2 8 2" xfId="739"/>
    <cellStyle name="Normal 3 2 9" xfId="381"/>
    <cellStyle name="Normal 3 2 9 2" xfId="749"/>
    <cellStyle name="Normal 3 3" xfId="225"/>
    <cellStyle name="Normal 3 3 2" xfId="643"/>
    <cellStyle name="Normal 3 4" xfId="227"/>
    <cellStyle name="Normal 3 4 2" xfId="645"/>
    <cellStyle name="Normal 3 5" xfId="228"/>
    <cellStyle name="Normal 3 5 2" xfId="646"/>
    <cellStyle name="Normal 3 6" xfId="229"/>
    <cellStyle name="Normal 3 6 2" xfId="647"/>
    <cellStyle name="Normal 3 7" xfId="230"/>
    <cellStyle name="Normal 3 7 2" xfId="648"/>
    <cellStyle name="Normal 3 8" xfId="231"/>
    <cellStyle name="Normal 3 8 2" xfId="649"/>
    <cellStyle name="Normal 3 9" xfId="341"/>
    <cellStyle name="Normal 3 9 2" xfId="724"/>
    <cellStyle name="Normal 30" xfId="232"/>
    <cellStyle name="Normal 30 2" xfId="650"/>
    <cellStyle name="Normal 31" xfId="247"/>
    <cellStyle name="Normal 31 2" xfId="662"/>
    <cellStyle name="Normal 32" xfId="254"/>
    <cellStyle name="Normal 32 2" xfId="668"/>
    <cellStyle name="Normal 33" xfId="256"/>
    <cellStyle name="Normal 33 2" xfId="670"/>
    <cellStyle name="Normal 34" xfId="258"/>
    <cellStyle name="Normal 34 2" xfId="672"/>
    <cellStyle name="Normal 35" xfId="260"/>
    <cellStyle name="Normal 35 2" xfId="674"/>
    <cellStyle name="Normal 36" xfId="268"/>
    <cellStyle name="Normal 36 2" xfId="681"/>
    <cellStyle name="Normal 37" xfId="435"/>
    <cellStyle name="Normal 38" xfId="451"/>
    <cellStyle name="Normal 39" xfId="22"/>
    <cellStyle name="Normal 4" xfId="34"/>
    <cellStyle name="Normal 4 10" xfId="167"/>
    <cellStyle name="Normal 4 10 2" xfId="620"/>
    <cellStyle name="Normal 4 11" xfId="369"/>
    <cellStyle name="Normal 4 11 2" xfId="741"/>
    <cellStyle name="Normal 4 12" xfId="387"/>
    <cellStyle name="Normal 4 12 2" xfId="751"/>
    <cellStyle name="Normal 4 13" xfId="403"/>
    <cellStyle name="Normal 4 13 2" xfId="759"/>
    <cellStyle name="Normal 4 14" xfId="418"/>
    <cellStyle name="Normal 4 14 2" xfId="767"/>
    <cellStyle name="Normal 4 2" xfId="59"/>
    <cellStyle name="Normal 4 2 2" xfId="234"/>
    <cellStyle name="Normal 4 2 2 2" xfId="652"/>
    <cellStyle name="Normal 4 2 3" xfId="346"/>
    <cellStyle name="Normal 4 2 3 2" xfId="729"/>
    <cellStyle name="Normal 4 2 4" xfId="195"/>
    <cellStyle name="Normal 4 2 4 2" xfId="632"/>
    <cellStyle name="Normal 4 2 5" xfId="347"/>
    <cellStyle name="Normal 4 2 5 2" xfId="730"/>
    <cellStyle name="Normal 4 2 6" xfId="212"/>
    <cellStyle name="Normal 4 2 6 2" xfId="635"/>
    <cellStyle name="Normal 4 2 7" xfId="350"/>
    <cellStyle name="Normal 4 2 7 2" xfId="731"/>
    <cellStyle name="Normal 4 2 8" xfId="213"/>
    <cellStyle name="Normal 4 2 8 2" xfId="636"/>
    <cellStyle name="Normal 4 3" xfId="233"/>
    <cellStyle name="Normal 4 3 2" xfId="651"/>
    <cellStyle name="Normal 4 4" xfId="235"/>
    <cellStyle name="Normal 4 4 2" xfId="653"/>
    <cellStyle name="Normal 4 5" xfId="236"/>
    <cellStyle name="Normal 4 5 2" xfId="654"/>
    <cellStyle name="Normal 4 6" xfId="237"/>
    <cellStyle name="Normal 4 6 2" xfId="655"/>
    <cellStyle name="Normal 4 7" xfId="238"/>
    <cellStyle name="Normal 4 7 2" xfId="656"/>
    <cellStyle name="Normal 4 8" xfId="239"/>
    <cellStyle name="Normal 4 8 2" xfId="657"/>
    <cellStyle name="Normal 4 9" xfId="345"/>
    <cellStyle name="Normal 4 9 2" xfId="728"/>
    <cellStyle name="Normal 40" xfId="453"/>
    <cellStyle name="Normal 41" xfId="455"/>
    <cellStyle name="Normal 42" xfId="457"/>
    <cellStyle name="Normal 43" xfId="493"/>
    <cellStyle name="Normal 44" xfId="509"/>
    <cellStyle name="Normal 45" xfId="779"/>
    <cellStyle name="Normal 46" xfId="623"/>
    <cellStyle name="Normal 47" xfId="782"/>
    <cellStyle name="Normal 48" xfId="780"/>
    <cellStyle name="Normal 5" xfId="35"/>
    <cellStyle name="Normal 5 10" xfId="89"/>
    <cellStyle name="Normal 5 11" xfId="447"/>
    <cellStyle name="Normal 5 12" xfId="517"/>
    <cellStyle name="Normal 5 2" xfId="36"/>
    <cellStyle name="Normal 5 3" xfId="240"/>
    <cellStyle name="Normal 5 3 2" xfId="547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2 2" xfId="658"/>
    <cellStyle name="Normal 6 3" xfId="352"/>
    <cellStyle name="Normal 6 3 2" xfId="732"/>
    <cellStyle name="Normal 6 4" xfId="371"/>
    <cellStyle name="Normal 6 4 2" xfId="742"/>
    <cellStyle name="Normal 6 5" xfId="389"/>
    <cellStyle name="Normal 6 5 2" xfId="752"/>
    <cellStyle name="Normal 6 6" xfId="405"/>
    <cellStyle name="Normal 6 6 2" xfId="760"/>
    <cellStyle name="Normal 6 7" xfId="420"/>
    <cellStyle name="Normal 6 7 2" xfId="768"/>
    <cellStyle name="Normal 6 8" xfId="431"/>
    <cellStyle name="Normal 6 8 2" xfId="774"/>
    <cellStyle name="Normal 7" xfId="38"/>
    <cellStyle name="Normal 7 10" xfId="448"/>
    <cellStyle name="Normal 7 11" xfId="518"/>
    <cellStyle name="Normal 7 2" xfId="242"/>
    <cellStyle name="Normal 7 2 2" xfId="244"/>
    <cellStyle name="Normal 7 2 2 2" xfId="659"/>
    <cellStyle name="Normal 7 2 3" xfId="548"/>
    <cellStyle name="Normal 7 3" xfId="353"/>
    <cellStyle name="Normal 7 3 2" xfId="733"/>
    <cellStyle name="Normal 7 4" xfId="372"/>
    <cellStyle name="Normal 7 4 2" xfId="743"/>
    <cellStyle name="Normal 7 5" xfId="390"/>
    <cellStyle name="Normal 7 5 2" xfId="753"/>
    <cellStyle name="Normal 7 6" xfId="406"/>
    <cellStyle name="Normal 7 6 2" xfId="761"/>
    <cellStyle name="Normal 7 7" xfId="421"/>
    <cellStyle name="Normal 7 7 2" xfId="769"/>
    <cellStyle name="Normal 7 8" xfId="432"/>
    <cellStyle name="Normal 7 8 2" xfId="775"/>
    <cellStyle name="Normal 7 9" xfId="90"/>
    <cellStyle name="Normal 8" xfId="53"/>
    <cellStyle name="Normal 8 2" xfId="245"/>
    <cellStyle name="Normal 8 2 2" xfId="660"/>
    <cellStyle name="Normal 8 3" xfId="355"/>
    <cellStyle name="Normal 8 3 2" xfId="734"/>
    <cellStyle name="Normal 8 4" xfId="373"/>
    <cellStyle name="Normal 8 4 2" xfId="744"/>
    <cellStyle name="Normal 8 5" xfId="391"/>
    <cellStyle name="Normal 8 5 2" xfId="754"/>
    <cellStyle name="Normal 8 6" xfId="407"/>
    <cellStyle name="Normal 8 6 2" xfId="762"/>
    <cellStyle name="Normal 8 7" xfId="423"/>
    <cellStyle name="Normal 8 7 2" xfId="770"/>
    <cellStyle name="Normal 8 8" xfId="433"/>
    <cellStyle name="Normal 8 8 2" xfId="776"/>
    <cellStyle name="Normal 9" xfId="54"/>
    <cellStyle name="Normal 9 2" xfId="246"/>
    <cellStyle name="Normal 9 2 2" xfId="661"/>
    <cellStyle name="Normal 9 3" xfId="356"/>
    <cellStyle name="Normal 9 3 2" xfId="735"/>
    <cellStyle name="Normal 9 4" xfId="374"/>
    <cellStyle name="Normal 9 4 2" xfId="745"/>
    <cellStyle name="Normal 9 5" xfId="392"/>
    <cellStyle name="Normal 9 5 2" xfId="755"/>
    <cellStyle name="Normal 9 6" xfId="408"/>
    <cellStyle name="Normal 9 6 2" xfId="763"/>
    <cellStyle name="Normal 9 7" xfId="424"/>
    <cellStyle name="Normal 9 7 2" xfId="771"/>
    <cellStyle name="Normal 9 8" xfId="434"/>
    <cellStyle name="Normal 9 8 2" xfId="777"/>
    <cellStyle name="Normal_FORMATS 5 YEAR ALOKE 2" xfId="14"/>
    <cellStyle name="Note 2" xfId="535"/>
    <cellStyle name="Output" xfId="468" builtinId="21" customBuiltin="1"/>
    <cellStyle name="Percent [0]_#6 Temps &amp; Contractors" xfId="15"/>
    <cellStyle name="Percent [2]" xfId="16"/>
    <cellStyle name="Percent 10" xfId="532"/>
    <cellStyle name="Percent 11" xfId="571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2 2" xfId="539"/>
    <cellStyle name="Percent 41 3" xfId="449"/>
    <cellStyle name="Percent 41 4" xfId="508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2 2" xfId="554"/>
    <cellStyle name="Percent 7 3" xfId="450"/>
    <cellStyle name="Percent 7 4" xfId="525"/>
    <cellStyle name="Percent 8" xfId="540"/>
    <cellStyle name="Percent 9" xfId="510"/>
    <cellStyle name="Style 1" xfId="17"/>
    <cellStyle name="Style 2" xfId="55"/>
    <cellStyle name="Title" xfId="460" builtinId="15" customBuiltin="1"/>
    <cellStyle name="Title 2" xfId="536"/>
    <cellStyle name="Total" xfId="474" builtinId="25" customBuiltin="1"/>
    <cellStyle name="Warning Text" xfId="472" builtinId="11" customBuiltin="1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8"/>
  <sheetViews>
    <sheetView showGridLines="0" zoomScale="80" zoomScaleNormal="80" zoomScaleSheetLayoutView="80" workbookViewId="0">
      <selection activeCell="G13" sqref="G13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>
      <c r="B2" s="239" t="s">
        <v>398</v>
      </c>
      <c r="C2" s="239"/>
      <c r="D2" s="240"/>
      <c r="E2" s="240"/>
      <c r="F2" s="1"/>
      <c r="G2" s="1"/>
      <c r="H2" s="1"/>
    </row>
    <row r="3" spans="2:8" ht="15.75">
      <c r="B3" s="239" t="s">
        <v>471</v>
      </c>
      <c r="C3" s="239"/>
      <c r="D3" s="240"/>
      <c r="E3" s="240"/>
      <c r="F3" s="1"/>
      <c r="G3" s="1"/>
      <c r="H3" s="1"/>
    </row>
    <row r="4" spans="2:8" s="12" customFormat="1" ht="15.75">
      <c r="B4" s="241" t="s">
        <v>369</v>
      </c>
      <c r="C4" s="241"/>
      <c r="D4" s="242"/>
      <c r="E4" s="242"/>
      <c r="F4" s="1"/>
      <c r="G4" s="1"/>
      <c r="H4" s="1"/>
    </row>
    <row r="5" spans="2:8" ht="15.75">
      <c r="D5" s="68" t="s">
        <v>371</v>
      </c>
    </row>
    <row r="6" spans="2:8" ht="15.75">
      <c r="G6" s="7"/>
    </row>
    <row r="7" spans="2:8" ht="15.75">
      <c r="B7" s="13" t="s">
        <v>189</v>
      </c>
      <c r="C7" s="13" t="s">
        <v>370</v>
      </c>
      <c r="D7" s="14" t="s">
        <v>6</v>
      </c>
      <c r="E7" s="14" t="s">
        <v>372</v>
      </c>
    </row>
    <row r="8" spans="2:8">
      <c r="B8" s="8">
        <v>1</v>
      </c>
      <c r="C8" s="8" t="s">
        <v>5</v>
      </c>
      <c r="D8" s="9" t="s">
        <v>374</v>
      </c>
      <c r="E8" s="10"/>
    </row>
    <row r="9" spans="2:8">
      <c r="B9" s="8">
        <f>B8+1</f>
        <v>2</v>
      </c>
      <c r="C9" s="8" t="s">
        <v>264</v>
      </c>
      <c r="D9" s="9" t="s">
        <v>376</v>
      </c>
      <c r="E9" s="10"/>
    </row>
    <row r="10" spans="2:8">
      <c r="B10" s="8">
        <f>B9+1</f>
        <v>3</v>
      </c>
      <c r="C10" s="8" t="s">
        <v>22</v>
      </c>
      <c r="D10" s="9" t="s">
        <v>377</v>
      </c>
      <c r="E10" s="10"/>
    </row>
    <row r="11" spans="2:8">
      <c r="B11" s="8">
        <f>B10+1</f>
        <v>4</v>
      </c>
      <c r="C11" s="8" t="s">
        <v>23</v>
      </c>
      <c r="D11" s="9" t="s">
        <v>378</v>
      </c>
      <c r="E11" s="10"/>
    </row>
    <row r="12" spans="2:8">
      <c r="B12" s="8">
        <f>B11+1</f>
        <v>5</v>
      </c>
      <c r="C12" s="8" t="s">
        <v>265</v>
      </c>
      <c r="D12" s="9" t="s">
        <v>379</v>
      </c>
      <c r="E12" s="10"/>
    </row>
    <row r="13" spans="2:8">
      <c r="B13" s="8">
        <f t="shared" ref="B13:B28" si="0">B12+1</f>
        <v>6</v>
      </c>
      <c r="C13" s="8" t="s">
        <v>20</v>
      </c>
      <c r="D13" s="9" t="s">
        <v>216</v>
      </c>
      <c r="E13" s="10"/>
    </row>
    <row r="14" spans="2:8">
      <c r="B14" s="8">
        <f t="shared" si="0"/>
        <v>7</v>
      </c>
      <c r="C14" s="8" t="s">
        <v>25</v>
      </c>
      <c r="D14" s="9" t="s">
        <v>380</v>
      </c>
      <c r="E14" s="10"/>
    </row>
    <row r="15" spans="2:8">
      <c r="B15" s="8">
        <f t="shared" si="0"/>
        <v>8</v>
      </c>
      <c r="C15" s="8" t="s">
        <v>26</v>
      </c>
      <c r="D15" s="11" t="s">
        <v>186</v>
      </c>
      <c r="E15" s="10"/>
    </row>
    <row r="16" spans="2:8">
      <c r="B16" s="8">
        <f t="shared" si="0"/>
        <v>9</v>
      </c>
      <c r="C16" s="8" t="s">
        <v>21</v>
      </c>
      <c r="D16" s="11" t="s">
        <v>381</v>
      </c>
      <c r="E16" s="10"/>
    </row>
    <row r="17" spans="2:5">
      <c r="B17" s="8">
        <f t="shared" si="0"/>
        <v>10</v>
      </c>
      <c r="C17" s="8" t="s">
        <v>27</v>
      </c>
      <c r="D17" s="9" t="s">
        <v>228</v>
      </c>
      <c r="E17" s="10"/>
    </row>
    <row r="18" spans="2:5">
      <c r="B18" s="8">
        <f t="shared" si="0"/>
        <v>11</v>
      </c>
      <c r="C18" s="8" t="s">
        <v>28</v>
      </c>
      <c r="D18" s="11" t="s">
        <v>287</v>
      </c>
      <c r="E18" s="10"/>
    </row>
    <row r="19" spans="2:5">
      <c r="B19" s="8">
        <f t="shared" si="0"/>
        <v>12</v>
      </c>
      <c r="C19" s="8" t="s">
        <v>29</v>
      </c>
      <c r="D19" s="11" t="s">
        <v>229</v>
      </c>
      <c r="E19" s="10"/>
    </row>
    <row r="20" spans="2:5">
      <c r="B20" s="8">
        <f t="shared" si="0"/>
        <v>13</v>
      </c>
      <c r="C20" s="8" t="s">
        <v>30</v>
      </c>
      <c r="D20" s="11" t="s">
        <v>152</v>
      </c>
      <c r="E20" s="10"/>
    </row>
    <row r="21" spans="2:5">
      <c r="B21" s="8">
        <f t="shared" si="0"/>
        <v>14</v>
      </c>
      <c r="C21" s="8" t="s">
        <v>31</v>
      </c>
      <c r="D21" s="11" t="s">
        <v>24</v>
      </c>
      <c r="E21" s="10"/>
    </row>
    <row r="22" spans="2:5">
      <c r="B22" s="8">
        <f t="shared" si="0"/>
        <v>15</v>
      </c>
      <c r="C22" s="8" t="s">
        <v>32</v>
      </c>
      <c r="D22" s="9" t="s">
        <v>382</v>
      </c>
      <c r="E22" s="10"/>
    </row>
    <row r="23" spans="2:5">
      <c r="B23" s="8">
        <f t="shared" si="0"/>
        <v>16</v>
      </c>
      <c r="C23" s="8" t="s">
        <v>33</v>
      </c>
      <c r="D23" s="9" t="s">
        <v>383</v>
      </c>
      <c r="E23" s="10"/>
    </row>
    <row r="24" spans="2:5">
      <c r="B24" s="8">
        <f t="shared" si="0"/>
        <v>17</v>
      </c>
      <c r="C24" s="8" t="s">
        <v>160</v>
      </c>
      <c r="D24" s="9" t="s">
        <v>232</v>
      </c>
      <c r="E24" s="10"/>
    </row>
    <row r="25" spans="2:5">
      <c r="B25" s="8">
        <f t="shared" si="0"/>
        <v>18</v>
      </c>
      <c r="C25" s="8" t="s">
        <v>165</v>
      </c>
      <c r="D25" s="9" t="s">
        <v>384</v>
      </c>
      <c r="E25" s="10"/>
    </row>
    <row r="26" spans="2:5">
      <c r="B26" s="8">
        <f t="shared" si="0"/>
        <v>19</v>
      </c>
      <c r="C26" s="8" t="s">
        <v>373</v>
      </c>
      <c r="D26" s="9" t="s">
        <v>224</v>
      </c>
      <c r="E26" s="10"/>
    </row>
    <row r="27" spans="2:5">
      <c r="B27" s="8">
        <f t="shared" si="0"/>
        <v>20</v>
      </c>
      <c r="C27" s="8" t="s">
        <v>218</v>
      </c>
      <c r="D27" s="9" t="s">
        <v>385</v>
      </c>
      <c r="E27" s="10"/>
    </row>
    <row r="28" spans="2:5">
      <c r="B28" s="8">
        <f t="shared" si="0"/>
        <v>21</v>
      </c>
      <c r="C28" s="8" t="s">
        <v>219</v>
      </c>
      <c r="D28" s="11" t="s">
        <v>386</v>
      </c>
      <c r="E28" s="10"/>
    </row>
  </sheetData>
  <mergeCells count="3">
    <mergeCell ref="B2:E2"/>
    <mergeCell ref="B4:E4"/>
    <mergeCell ref="B3:E3"/>
  </mergeCells>
  <phoneticPr fontId="13" type="noConversion"/>
  <pageMargins left="1.05" right="0.23622047244094499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3"/>
  <sheetViews>
    <sheetView showGridLines="0" view="pageBreakPreview" zoomScale="90" zoomScaleNormal="93" zoomScaleSheetLayoutView="90" workbookViewId="0">
      <selection activeCell="G13" sqref="G13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H2" s="34" t="s">
        <v>399</v>
      </c>
      <c r="I2" s="35"/>
    </row>
    <row r="3" spans="2:15" ht="15">
      <c r="H3" s="34" t="s">
        <v>472</v>
      </c>
      <c r="I3" s="35"/>
    </row>
    <row r="4" spans="2:15" ht="15">
      <c r="H4" s="37" t="s">
        <v>270</v>
      </c>
      <c r="I4" s="37"/>
    </row>
    <row r="5" spans="2:15" ht="15.75" thickBot="1">
      <c r="K5" s="37"/>
      <c r="O5" s="34" t="s">
        <v>4</v>
      </c>
    </row>
    <row r="6" spans="2:15" ht="15">
      <c r="B6" s="264" t="s">
        <v>400</v>
      </c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6"/>
    </row>
    <row r="7" spans="2:15" ht="14.25" customHeight="1">
      <c r="B7" s="267" t="s">
        <v>2</v>
      </c>
      <c r="C7" s="269" t="s">
        <v>263</v>
      </c>
      <c r="D7" s="271" t="s">
        <v>251</v>
      </c>
      <c r="E7" s="271" t="s">
        <v>252</v>
      </c>
      <c r="F7" s="271" t="s">
        <v>253</v>
      </c>
      <c r="G7" s="271"/>
      <c r="H7" s="271"/>
      <c r="I7" s="271"/>
      <c r="J7" s="271" t="s">
        <v>254</v>
      </c>
      <c r="K7" s="271"/>
      <c r="L7" s="271"/>
      <c r="M7" s="271"/>
      <c r="N7" s="271" t="s">
        <v>255</v>
      </c>
      <c r="O7" s="273"/>
    </row>
    <row r="8" spans="2:15" ht="60.75" thickBot="1">
      <c r="B8" s="268"/>
      <c r="C8" s="270"/>
      <c r="D8" s="272"/>
      <c r="E8" s="272"/>
      <c r="F8" s="66" t="s">
        <v>256</v>
      </c>
      <c r="G8" s="66" t="s">
        <v>136</v>
      </c>
      <c r="H8" s="66" t="s">
        <v>257</v>
      </c>
      <c r="I8" s="66" t="s">
        <v>258</v>
      </c>
      <c r="J8" s="66" t="s">
        <v>259</v>
      </c>
      <c r="K8" s="66" t="s">
        <v>136</v>
      </c>
      <c r="L8" s="66" t="s">
        <v>260</v>
      </c>
      <c r="M8" s="66" t="s">
        <v>261</v>
      </c>
      <c r="N8" s="66" t="s">
        <v>256</v>
      </c>
      <c r="O8" s="67" t="s">
        <v>258</v>
      </c>
    </row>
    <row r="9" spans="2:15">
      <c r="B9" s="170">
        <v>1</v>
      </c>
      <c r="C9" s="201" t="s">
        <v>407</v>
      </c>
      <c r="D9" s="196">
        <v>1000</v>
      </c>
      <c r="E9" s="195">
        <v>0</v>
      </c>
      <c r="F9" s="228">
        <v>22.201953</v>
      </c>
      <c r="G9" s="228">
        <v>0</v>
      </c>
      <c r="H9" s="229">
        <v>0</v>
      </c>
      <c r="I9" s="192">
        <f t="shared" ref="I9:I21" si="0">F9+G9+H9</f>
        <v>22.201953</v>
      </c>
      <c r="J9" s="228">
        <v>0</v>
      </c>
      <c r="K9" s="228">
        <v>0</v>
      </c>
      <c r="L9" s="228">
        <v>0</v>
      </c>
      <c r="M9" s="192">
        <f t="shared" ref="M9:M21" si="1">J9+K9+L9</f>
        <v>0</v>
      </c>
      <c r="N9" s="194">
        <f t="shared" ref="N9:N21" si="2">+F9-J9</f>
        <v>22.201953</v>
      </c>
      <c r="O9" s="194">
        <f t="shared" ref="O9:O21" si="3">+I9-M9</f>
        <v>22.201953</v>
      </c>
    </row>
    <row r="10" spans="2:15">
      <c r="B10" s="170">
        <v>2</v>
      </c>
      <c r="C10" s="201" t="s">
        <v>414</v>
      </c>
      <c r="D10" s="196">
        <v>1010</v>
      </c>
      <c r="E10" s="195"/>
      <c r="F10" s="228">
        <v>41.582841600000002</v>
      </c>
      <c r="G10" s="228"/>
      <c r="H10" s="228"/>
      <c r="I10" s="192">
        <f t="shared" si="0"/>
        <v>41.582841600000002</v>
      </c>
      <c r="J10" s="228"/>
      <c r="K10" s="228"/>
      <c r="L10" s="228"/>
      <c r="M10" s="192">
        <f t="shared" si="1"/>
        <v>0</v>
      </c>
      <c r="N10" s="191">
        <f t="shared" si="2"/>
        <v>41.582841600000002</v>
      </c>
      <c r="O10" s="191">
        <f t="shared" si="3"/>
        <v>41.582841600000002</v>
      </c>
    </row>
    <row r="11" spans="2:15">
      <c r="B11" s="170">
        <v>3</v>
      </c>
      <c r="C11" s="201" t="s">
        <v>126</v>
      </c>
      <c r="D11" s="196">
        <v>1100</v>
      </c>
      <c r="E11" s="185">
        <v>3.3399999999999999E-2</v>
      </c>
      <c r="F11" s="228">
        <v>142.68600340200001</v>
      </c>
      <c r="G11" s="228">
        <v>0</v>
      </c>
      <c r="H11" s="229">
        <v>0</v>
      </c>
      <c r="I11" s="192">
        <f t="shared" si="0"/>
        <v>142.68600340200001</v>
      </c>
      <c r="J11" s="228">
        <v>95.520980416</v>
      </c>
      <c r="K11" s="228">
        <v>2.5304940510000002</v>
      </c>
      <c r="L11" s="228">
        <v>0</v>
      </c>
      <c r="M11" s="192">
        <f t="shared" si="1"/>
        <v>98.051474467000006</v>
      </c>
      <c r="N11" s="194">
        <f t="shared" si="2"/>
        <v>47.165022986000011</v>
      </c>
      <c r="O11" s="194">
        <f t="shared" si="3"/>
        <v>44.634528935000006</v>
      </c>
    </row>
    <row r="12" spans="2:15">
      <c r="B12" s="170">
        <f>+B11+1</f>
        <v>4</v>
      </c>
      <c r="C12" s="201" t="s">
        <v>408</v>
      </c>
      <c r="D12" s="196">
        <v>1200</v>
      </c>
      <c r="E12" s="185">
        <v>5.28E-2</v>
      </c>
      <c r="F12" s="230">
        <v>165.50070170000001</v>
      </c>
      <c r="G12" s="228">
        <v>0</v>
      </c>
      <c r="H12" s="229">
        <v>0</v>
      </c>
      <c r="I12" s="192">
        <f t="shared" si="0"/>
        <v>165.50070170000001</v>
      </c>
      <c r="J12" s="230">
        <v>146.34468238400001</v>
      </c>
      <c r="K12" s="228">
        <v>0.2</v>
      </c>
      <c r="L12" s="228">
        <v>0</v>
      </c>
      <c r="M12" s="192">
        <f t="shared" si="1"/>
        <v>146.544682384</v>
      </c>
      <c r="N12" s="194">
        <f t="shared" si="2"/>
        <v>19.156019315999998</v>
      </c>
      <c r="O12" s="194">
        <f t="shared" si="3"/>
        <v>18.95601931600001</v>
      </c>
    </row>
    <row r="13" spans="2:15">
      <c r="B13" s="170">
        <f t="shared" ref="B13:B21" si="4">+B12+1</f>
        <v>5</v>
      </c>
      <c r="C13" s="201" t="s">
        <v>125</v>
      </c>
      <c r="D13" s="196">
        <v>1300</v>
      </c>
      <c r="E13" s="185">
        <v>5.28E-2</v>
      </c>
      <c r="F13" s="230">
        <f>2125.476420211-336.65</f>
        <v>1788.8264202109999</v>
      </c>
      <c r="G13" s="228">
        <v>0.08</v>
      </c>
      <c r="H13" s="229">
        <v>0</v>
      </c>
      <c r="I13" s="192">
        <f>F13+G13+H13+0.01</f>
        <v>1788.9164202109998</v>
      </c>
      <c r="J13" s="230">
        <f>1761.060552594-144.27</f>
        <v>1616.790552594</v>
      </c>
      <c r="K13" s="228">
        <f>11.68-6.94</f>
        <v>4.7399999999999993</v>
      </c>
      <c r="L13" s="228">
        <v>0</v>
      </c>
      <c r="M13" s="192">
        <f>J13+K13+L13+0.01</f>
        <v>1621.540552594</v>
      </c>
      <c r="N13" s="194">
        <f t="shared" si="2"/>
        <v>172.03586761699989</v>
      </c>
      <c r="O13" s="194">
        <f t="shared" si="3"/>
        <v>167.37586761699981</v>
      </c>
    </row>
    <row r="14" spans="2:15">
      <c r="B14" s="170">
        <f t="shared" si="4"/>
        <v>6</v>
      </c>
      <c r="C14" s="190" t="s">
        <v>409</v>
      </c>
      <c r="D14" s="196">
        <v>1400</v>
      </c>
      <c r="E14" s="185">
        <v>5.28E-2</v>
      </c>
      <c r="F14" s="228">
        <v>27.445761599000001</v>
      </c>
      <c r="G14" s="228">
        <v>0</v>
      </c>
      <c r="H14" s="229"/>
      <c r="I14" s="192">
        <f t="shared" si="0"/>
        <v>27.445761599000001</v>
      </c>
      <c r="J14" s="228">
        <v>8.6824745389999993</v>
      </c>
      <c r="K14" s="228">
        <v>1.443329772</v>
      </c>
      <c r="L14" s="228">
        <v>0</v>
      </c>
      <c r="M14" s="192">
        <f t="shared" si="1"/>
        <v>10.125804311</v>
      </c>
      <c r="N14" s="194">
        <f t="shared" si="2"/>
        <v>18.763287060000003</v>
      </c>
      <c r="O14" s="194">
        <f t="shared" si="3"/>
        <v>17.319957288000001</v>
      </c>
    </row>
    <row r="15" spans="2:15">
      <c r="B15" s="170">
        <f t="shared" si="4"/>
        <v>7</v>
      </c>
      <c r="C15" s="190" t="s">
        <v>128</v>
      </c>
      <c r="D15" s="196">
        <v>1500</v>
      </c>
      <c r="E15" s="185">
        <v>5.28E-2</v>
      </c>
      <c r="F15" s="228">
        <v>247.11513890100002</v>
      </c>
      <c r="G15" s="228">
        <v>0</v>
      </c>
      <c r="H15" s="229">
        <v>0</v>
      </c>
      <c r="I15" s="192">
        <f t="shared" si="0"/>
        <v>247.11513890100002</v>
      </c>
      <c r="J15" s="228">
        <v>166.06389077200001</v>
      </c>
      <c r="K15" s="228">
        <v>4.3338257100000002</v>
      </c>
      <c r="L15" s="228">
        <v>0</v>
      </c>
      <c r="M15" s="192">
        <f t="shared" si="1"/>
        <v>170.39771648200002</v>
      </c>
      <c r="N15" s="194">
        <f t="shared" si="2"/>
        <v>81.051248129000015</v>
      </c>
      <c r="O15" s="194">
        <f t="shared" si="3"/>
        <v>76.717422419000002</v>
      </c>
    </row>
    <row r="16" spans="2:15">
      <c r="B16" s="170">
        <f t="shared" si="4"/>
        <v>8</v>
      </c>
      <c r="C16" s="190" t="s">
        <v>410</v>
      </c>
      <c r="D16" s="196">
        <v>1600</v>
      </c>
      <c r="E16" s="185">
        <v>3.3399999999999999E-2</v>
      </c>
      <c r="F16" s="228">
        <v>83.994568712000003</v>
      </c>
      <c r="G16" s="228">
        <v>0</v>
      </c>
      <c r="H16" s="229">
        <v>0</v>
      </c>
      <c r="I16" s="192">
        <f t="shared" si="0"/>
        <v>83.994568712000003</v>
      </c>
      <c r="J16" s="228">
        <v>29.796060155999999</v>
      </c>
      <c r="K16" s="228">
        <v>3.5230039759999996</v>
      </c>
      <c r="L16" s="228">
        <v>0</v>
      </c>
      <c r="M16" s="192">
        <f t="shared" si="1"/>
        <v>33.319064132000001</v>
      </c>
      <c r="N16" s="194">
        <f t="shared" si="2"/>
        <v>54.198508556000007</v>
      </c>
      <c r="O16" s="194">
        <f t="shared" si="3"/>
        <v>50.675504580000002</v>
      </c>
    </row>
    <row r="17" spans="2:16">
      <c r="B17" s="170">
        <f t="shared" si="4"/>
        <v>9</v>
      </c>
      <c r="C17" s="190" t="s">
        <v>130</v>
      </c>
      <c r="D17" s="196">
        <v>1700</v>
      </c>
      <c r="E17" s="199">
        <v>9.5000000000000001E-2</v>
      </c>
      <c r="F17" s="228">
        <v>23.932888903999999</v>
      </c>
      <c r="G17" s="228">
        <v>0</v>
      </c>
      <c r="H17" s="229">
        <v>0</v>
      </c>
      <c r="I17" s="192">
        <f t="shared" si="0"/>
        <v>23.932888903999999</v>
      </c>
      <c r="J17" s="228">
        <v>16.796416505</v>
      </c>
      <c r="K17" s="228">
        <v>0.56531408999999999</v>
      </c>
      <c r="L17" s="228">
        <v>0</v>
      </c>
      <c r="M17" s="192">
        <f t="shared" si="1"/>
        <v>17.361730595000001</v>
      </c>
      <c r="N17" s="194">
        <f t="shared" si="2"/>
        <v>7.1364723989999987</v>
      </c>
      <c r="O17" s="194">
        <f t="shared" si="3"/>
        <v>6.5711583089999976</v>
      </c>
    </row>
    <row r="18" spans="2:16">
      <c r="B18" s="170">
        <f t="shared" si="4"/>
        <v>10</v>
      </c>
      <c r="C18" s="190" t="s">
        <v>411</v>
      </c>
      <c r="D18" s="196">
        <v>1800</v>
      </c>
      <c r="E18" s="185">
        <v>6.3299999999999995E-2</v>
      </c>
      <c r="F18" s="228">
        <v>1.5241927449999999</v>
      </c>
      <c r="G18" s="228">
        <v>5.711888E-3</v>
      </c>
      <c r="H18" s="229">
        <v>0</v>
      </c>
      <c r="I18" s="192">
        <f t="shared" si="0"/>
        <v>1.5299046329999999</v>
      </c>
      <c r="J18" s="228">
        <v>1.266407984</v>
      </c>
      <c r="K18" s="228">
        <v>1.7149444E-2</v>
      </c>
      <c r="L18" s="228">
        <v>0</v>
      </c>
      <c r="M18" s="192">
        <f t="shared" si="1"/>
        <v>1.2835574279999999</v>
      </c>
      <c r="N18" s="194">
        <f t="shared" si="2"/>
        <v>0.25778476099999992</v>
      </c>
      <c r="O18" s="194">
        <f t="shared" si="3"/>
        <v>0.24634720499999996</v>
      </c>
    </row>
    <row r="19" spans="2:16">
      <c r="B19" s="170">
        <f t="shared" si="4"/>
        <v>11</v>
      </c>
      <c r="C19" s="190" t="s">
        <v>412</v>
      </c>
      <c r="D19" s="196">
        <v>1900</v>
      </c>
      <c r="E19" s="198">
        <v>0.15</v>
      </c>
      <c r="F19" s="228">
        <v>2.4785575719999997</v>
      </c>
      <c r="G19" s="228">
        <v>7.0875400000000002E-4</v>
      </c>
      <c r="H19" s="229"/>
      <c r="I19" s="192">
        <f t="shared" si="0"/>
        <v>2.4792663259999999</v>
      </c>
      <c r="J19" s="228">
        <v>1.8820094999999999</v>
      </c>
      <c r="K19" s="228">
        <v>8.0491251999999999E-2</v>
      </c>
      <c r="L19" s="228">
        <v>0</v>
      </c>
      <c r="M19" s="192">
        <f t="shared" si="1"/>
        <v>1.962500752</v>
      </c>
      <c r="N19" s="194">
        <f t="shared" si="2"/>
        <v>0.59654807199999982</v>
      </c>
      <c r="O19" s="194">
        <f t="shared" si="3"/>
        <v>0.51676557399999989</v>
      </c>
    </row>
    <row r="20" spans="2:16">
      <c r="B20" s="170">
        <f t="shared" si="4"/>
        <v>12</v>
      </c>
      <c r="C20" s="201" t="s">
        <v>132</v>
      </c>
      <c r="D20" s="195">
        <v>2100</v>
      </c>
      <c r="E20" s="193">
        <v>6.3299999999999995E-2</v>
      </c>
      <c r="F20" s="228">
        <v>1.5372011080000001</v>
      </c>
      <c r="G20" s="228">
        <v>5.2190278999999999E-2</v>
      </c>
      <c r="H20" s="229">
        <v>0</v>
      </c>
      <c r="I20" s="192">
        <f t="shared" si="0"/>
        <v>1.589391387</v>
      </c>
      <c r="J20" s="228">
        <v>1.0219617009999999</v>
      </c>
      <c r="K20" s="228">
        <v>5.4555347999999997E-2</v>
      </c>
      <c r="L20" s="228">
        <v>0</v>
      </c>
      <c r="M20" s="192">
        <f t="shared" si="1"/>
        <v>1.076517049</v>
      </c>
      <c r="N20" s="194">
        <f t="shared" si="2"/>
        <v>0.51523940700000015</v>
      </c>
      <c r="O20" s="194">
        <f t="shared" si="3"/>
        <v>0.51287433800000004</v>
      </c>
    </row>
    <row r="21" spans="2:16">
      <c r="B21" s="170">
        <f t="shared" si="4"/>
        <v>13</v>
      </c>
      <c r="C21" s="201" t="s">
        <v>413</v>
      </c>
      <c r="D21" s="195">
        <v>2200</v>
      </c>
      <c r="E21" s="193">
        <v>0.15</v>
      </c>
      <c r="F21" s="228"/>
      <c r="G21" s="228"/>
      <c r="H21" s="229">
        <v>0</v>
      </c>
      <c r="I21" s="192">
        <f t="shared" si="0"/>
        <v>0</v>
      </c>
      <c r="J21" s="228"/>
      <c r="K21" s="228"/>
      <c r="L21" s="228">
        <v>0</v>
      </c>
      <c r="M21" s="192">
        <f t="shared" si="1"/>
        <v>0</v>
      </c>
      <c r="N21" s="191">
        <f t="shared" si="2"/>
        <v>0</v>
      </c>
      <c r="O21" s="191">
        <f t="shared" si="3"/>
        <v>0</v>
      </c>
    </row>
    <row r="22" spans="2:16" s="51" customFormat="1" ht="15.75" thickBot="1">
      <c r="B22" s="232"/>
      <c r="C22" s="233" t="s">
        <v>137</v>
      </c>
      <c r="D22" s="233"/>
      <c r="E22" s="234">
        <f>IFERROR((K22-L22)/AVERAGE(F22,I22),0)</f>
        <v>6.861783514457217E-3</v>
      </c>
      <c r="F22" s="200">
        <v>2548.83</v>
      </c>
      <c r="G22" s="200">
        <v>0.14000000000000001</v>
      </c>
      <c r="H22" s="200">
        <v>0</v>
      </c>
      <c r="I22" s="200">
        <v>2548.9699999999998</v>
      </c>
      <c r="J22" s="186">
        <v>2084.17</v>
      </c>
      <c r="K22" s="200">
        <v>17.489999999999998</v>
      </c>
      <c r="L22" s="197">
        <v>0</v>
      </c>
      <c r="M22" s="186">
        <v>2101.66</v>
      </c>
      <c r="N22" s="200">
        <v>464.65999999999985</v>
      </c>
      <c r="O22" s="200">
        <v>447.30999999999995</v>
      </c>
      <c r="P22" s="231"/>
    </row>
    <row r="23" spans="2:16"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" footer="0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2"/>
  <sheetViews>
    <sheetView view="pageBreakPreview" topLeftCell="A27" zoomScale="90" zoomScaleNormal="98" zoomScaleSheetLayoutView="90" workbookViewId="0">
      <selection activeCell="D62" sqref="D62:F6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B2" s="243" t="s">
        <v>399</v>
      </c>
      <c r="C2" s="243"/>
      <c r="D2" s="243"/>
      <c r="E2" s="243"/>
      <c r="F2" s="243"/>
    </row>
    <row r="3" spans="2:6" ht="14.25" customHeight="1">
      <c r="B3" s="243" t="s">
        <v>472</v>
      </c>
      <c r="C3" s="243"/>
      <c r="D3" s="243"/>
      <c r="E3" s="243"/>
      <c r="F3" s="243"/>
    </row>
    <row r="4" spans="2:6" ht="14.25" customHeight="1">
      <c r="B4" s="243" t="s">
        <v>272</v>
      </c>
      <c r="C4" s="243"/>
      <c r="D4" s="243"/>
      <c r="E4" s="243"/>
      <c r="F4" s="243"/>
    </row>
    <row r="5" spans="2:6" ht="15">
      <c r="B5" s="35" t="s">
        <v>55</v>
      </c>
      <c r="C5" s="26" t="s">
        <v>273</v>
      </c>
      <c r="D5" s="27"/>
      <c r="E5" s="27"/>
      <c r="F5" s="27"/>
    </row>
    <row r="6" spans="2:6" ht="15">
      <c r="F6" s="35" t="s">
        <v>478</v>
      </c>
    </row>
    <row r="7" spans="2:6" s="15" customFormat="1" ht="15" customHeight="1">
      <c r="B7" s="247" t="s">
        <v>189</v>
      </c>
      <c r="C7" s="250" t="s">
        <v>16</v>
      </c>
      <c r="D7" s="254" t="s">
        <v>400</v>
      </c>
      <c r="E7" s="255"/>
      <c r="F7" s="256"/>
    </row>
    <row r="8" spans="2:6" s="15" customFormat="1" ht="45">
      <c r="B8" s="248"/>
      <c r="C8" s="250"/>
      <c r="D8" s="17" t="s">
        <v>368</v>
      </c>
      <c r="E8" s="17" t="s">
        <v>235</v>
      </c>
      <c r="F8" s="17" t="s">
        <v>204</v>
      </c>
    </row>
    <row r="9" spans="2:6" s="15" customFormat="1" ht="15">
      <c r="B9" s="249"/>
      <c r="C9" s="251"/>
      <c r="D9" s="17" t="s">
        <v>8</v>
      </c>
      <c r="E9" s="17" t="s">
        <v>10</v>
      </c>
      <c r="F9" s="17" t="s">
        <v>226</v>
      </c>
    </row>
    <row r="10" spans="2:6">
      <c r="B10" s="63">
        <v>1</v>
      </c>
      <c r="C10" s="28" t="s">
        <v>172</v>
      </c>
      <c r="D10" s="2"/>
      <c r="E10" s="140">
        <f>'F4'!F22*0.7</f>
        <v>1784.1809999999998</v>
      </c>
      <c r="F10" s="140">
        <f>E10</f>
        <v>1784.1809999999998</v>
      </c>
    </row>
    <row r="11" spans="2:6">
      <c r="B11" s="22">
        <f>B10+1</f>
        <v>2</v>
      </c>
      <c r="C11" s="28" t="s">
        <v>173</v>
      </c>
      <c r="D11" s="2"/>
      <c r="E11" s="140">
        <f>'F4'!J22</f>
        <v>2084.17</v>
      </c>
      <c r="F11" s="140">
        <f>E11</f>
        <v>2084.17</v>
      </c>
    </row>
    <row r="12" spans="2:6" ht="15">
      <c r="B12" s="22">
        <f t="shared" ref="B12:B22" si="0">B11+1</f>
        <v>3</v>
      </c>
      <c r="C12" s="30" t="s">
        <v>174</v>
      </c>
      <c r="D12" s="135">
        <f>D10-D11</f>
        <v>0</v>
      </c>
      <c r="E12" s="135">
        <f>IF((E10-E11)&lt;0,0,(E10-E11))</f>
        <v>0</v>
      </c>
      <c r="F12" s="135">
        <f>IF((F10-F11)&lt;0,0,(F10-F11))</f>
        <v>0</v>
      </c>
    </row>
    <row r="13" spans="2:6" ht="28.5">
      <c r="B13" s="22">
        <f t="shared" si="0"/>
        <v>4</v>
      </c>
      <c r="C13" s="70" t="s">
        <v>175</v>
      </c>
      <c r="D13" s="139"/>
      <c r="E13" s="139"/>
      <c r="F13" s="139"/>
    </row>
    <row r="14" spans="2:6" s="34" customFormat="1" ht="28.5">
      <c r="B14" s="22">
        <f t="shared" si="0"/>
        <v>5</v>
      </c>
      <c r="C14" s="39" t="s">
        <v>396</v>
      </c>
      <c r="D14" s="139"/>
      <c r="E14" s="146">
        <f>'F3'!E12*0.7</f>
        <v>9.8000000000000004E-2</v>
      </c>
      <c r="F14" s="146">
        <f>E14</f>
        <v>9.8000000000000004E-2</v>
      </c>
    </row>
    <row r="15" spans="2:6">
      <c r="B15" s="22">
        <f t="shared" si="0"/>
        <v>6</v>
      </c>
      <c r="C15" s="70" t="s">
        <v>180</v>
      </c>
      <c r="D15" s="155">
        <f>'F1'!F12</f>
        <v>74.16</v>
      </c>
      <c r="E15" s="155">
        <f>'F1'!G12</f>
        <v>17.489999999999998</v>
      </c>
      <c r="F15" s="155">
        <f>'F1'!H12</f>
        <v>17.489999999999998</v>
      </c>
    </row>
    <row r="16" spans="2:6" ht="15">
      <c r="B16" s="22">
        <f t="shared" si="0"/>
        <v>7</v>
      </c>
      <c r="C16" s="28" t="s">
        <v>176</v>
      </c>
      <c r="D16" s="135">
        <f>D12-D13+D14-D15</f>
        <v>-74.16</v>
      </c>
      <c r="E16" s="135">
        <f>IF((E12-E13+E14-E15)&lt;0,0,(E12-E13+E14-E15))</f>
        <v>0</v>
      </c>
      <c r="F16" s="135">
        <f>IF((F12-F13+F14-F15)&lt;0,0,(F12-F13+F14-F15))</f>
        <v>0</v>
      </c>
    </row>
    <row r="17" spans="2:6" ht="15">
      <c r="B17" s="22">
        <f t="shared" si="0"/>
        <v>8</v>
      </c>
      <c r="C17" s="28" t="s">
        <v>177</v>
      </c>
      <c r="D17" s="135">
        <f>D10-D13+D14-D15</f>
        <v>-74.16</v>
      </c>
      <c r="E17" s="135">
        <f t="shared" ref="E17:F17" si="1">E10-E13+E14-E15</f>
        <v>1766.7889999999998</v>
      </c>
      <c r="F17" s="135">
        <f t="shared" si="1"/>
        <v>1766.7889999999998</v>
      </c>
    </row>
    <row r="18" spans="2:6" ht="15">
      <c r="B18" s="22">
        <f t="shared" si="0"/>
        <v>9</v>
      </c>
      <c r="C18" s="28" t="s">
        <v>210</v>
      </c>
      <c r="D18" s="135">
        <f>AVERAGE(D12,D16)</f>
        <v>-37.08</v>
      </c>
      <c r="E18" s="135">
        <f t="shared" ref="E18:F18" si="2">AVERAGE(E12,E16)</f>
        <v>0</v>
      </c>
      <c r="F18" s="135">
        <f t="shared" si="2"/>
        <v>0</v>
      </c>
    </row>
    <row r="19" spans="2:6">
      <c r="B19" s="22">
        <f t="shared" si="0"/>
        <v>10</v>
      </c>
      <c r="C19" s="70" t="s">
        <v>209</v>
      </c>
      <c r="D19" s="137"/>
      <c r="E19" s="137">
        <v>9.5500000000000002E-2</v>
      </c>
      <c r="F19" s="137">
        <f>E19</f>
        <v>9.5500000000000002E-2</v>
      </c>
    </row>
    <row r="20" spans="2:6" ht="15">
      <c r="B20" s="22">
        <f t="shared" si="0"/>
        <v>11</v>
      </c>
      <c r="C20" s="28" t="s">
        <v>274</v>
      </c>
      <c r="D20" s="135">
        <f>D18*D19</f>
        <v>0</v>
      </c>
      <c r="E20" s="135">
        <f>E18*E19</f>
        <v>0</v>
      </c>
      <c r="F20" s="135">
        <f>F18*F19</f>
        <v>0</v>
      </c>
    </row>
    <row r="21" spans="2:6">
      <c r="B21" s="22">
        <f t="shared" si="0"/>
        <v>12</v>
      </c>
      <c r="C21" s="28" t="s">
        <v>277</v>
      </c>
      <c r="D21" s="71"/>
      <c r="E21" s="71"/>
      <c r="F21" s="71"/>
    </row>
    <row r="22" spans="2:6" ht="15">
      <c r="B22" s="22">
        <f t="shared" si="0"/>
        <v>13</v>
      </c>
      <c r="C22" s="28" t="s">
        <v>278</v>
      </c>
      <c r="D22" s="135">
        <v>0</v>
      </c>
      <c r="E22" s="135">
        <f>IF((E20+E21)&lt;0,0,(E20+E21))</f>
        <v>0</v>
      </c>
      <c r="F22" s="135">
        <f>IF((F20+F21)&lt;0,0,(F20+F21))</f>
        <v>0</v>
      </c>
    </row>
    <row r="23" spans="2:6">
      <c r="B23" s="36"/>
    </row>
    <row r="24" spans="2:6">
      <c r="B24" s="36"/>
      <c r="C24" s="5" t="s">
        <v>237</v>
      </c>
    </row>
    <row r="25" spans="2:6">
      <c r="C25" s="5" t="s">
        <v>397</v>
      </c>
    </row>
    <row r="27" spans="2:6" ht="15">
      <c r="B27" s="35" t="s">
        <v>60</v>
      </c>
      <c r="C27" s="26" t="s">
        <v>275</v>
      </c>
    </row>
    <row r="28" spans="2:6" ht="15">
      <c r="F28" s="35" t="s">
        <v>478</v>
      </c>
    </row>
    <row r="29" spans="2:6" ht="15" customHeight="1">
      <c r="B29" s="247" t="s">
        <v>189</v>
      </c>
      <c r="C29" s="250" t="s">
        <v>16</v>
      </c>
      <c r="D29" s="254" t="s">
        <v>400</v>
      </c>
      <c r="E29" s="255"/>
      <c r="F29" s="256"/>
    </row>
    <row r="30" spans="2:6" ht="15">
      <c r="B30" s="248"/>
      <c r="C30" s="250"/>
      <c r="D30" s="254" t="s">
        <v>235</v>
      </c>
      <c r="E30" s="255"/>
      <c r="F30" s="256"/>
    </row>
    <row r="31" spans="2:6" ht="15">
      <c r="B31" s="249"/>
      <c r="C31" s="251"/>
      <c r="D31" s="254" t="s">
        <v>10</v>
      </c>
      <c r="E31" s="255"/>
      <c r="F31" s="256"/>
    </row>
    <row r="32" spans="2:6" ht="15">
      <c r="B32" s="22">
        <v>1</v>
      </c>
      <c r="C32" s="41" t="s">
        <v>188</v>
      </c>
      <c r="D32" s="286"/>
      <c r="E32" s="287"/>
      <c r="F32" s="288"/>
    </row>
    <row r="33" spans="2:6">
      <c r="B33" s="28"/>
      <c r="C33" s="28" t="s">
        <v>11</v>
      </c>
      <c r="D33" s="286"/>
      <c r="E33" s="287"/>
      <c r="F33" s="288"/>
    </row>
    <row r="34" spans="2:6">
      <c r="B34" s="28"/>
      <c r="C34" s="28" t="s">
        <v>164</v>
      </c>
      <c r="D34" s="286"/>
      <c r="E34" s="287"/>
      <c r="F34" s="288"/>
    </row>
    <row r="35" spans="2:6">
      <c r="B35" s="28"/>
      <c r="C35" s="28" t="s">
        <v>12</v>
      </c>
      <c r="D35" s="286"/>
      <c r="E35" s="287"/>
      <c r="F35" s="288"/>
    </row>
    <row r="36" spans="2:6" ht="15">
      <c r="B36" s="28"/>
      <c r="C36" s="28" t="s">
        <v>13</v>
      </c>
      <c r="D36" s="274">
        <f>D33+D34-D35</f>
        <v>0</v>
      </c>
      <c r="E36" s="275"/>
      <c r="F36" s="276"/>
    </row>
    <row r="37" spans="2:6" ht="15">
      <c r="B37" s="28"/>
      <c r="C37" s="28" t="s">
        <v>211</v>
      </c>
      <c r="D37" s="274">
        <f>AVERAGE(D33,D36)</f>
        <v>0</v>
      </c>
      <c r="E37" s="275"/>
      <c r="F37" s="276"/>
    </row>
    <row r="38" spans="2:6">
      <c r="B38" s="28"/>
      <c r="C38" s="28" t="s">
        <v>14</v>
      </c>
      <c r="D38" s="283"/>
      <c r="E38" s="284"/>
      <c r="F38" s="285"/>
    </row>
    <row r="39" spans="2:6" ht="15">
      <c r="B39" s="28"/>
      <c r="C39" s="28" t="s">
        <v>274</v>
      </c>
      <c r="D39" s="274">
        <f>D37*D38</f>
        <v>0</v>
      </c>
      <c r="E39" s="275"/>
      <c r="F39" s="276"/>
    </row>
    <row r="40" spans="2:6">
      <c r="B40" s="28"/>
      <c r="C40" s="28" t="s">
        <v>277</v>
      </c>
      <c r="D40" s="280"/>
      <c r="E40" s="281"/>
      <c r="F40" s="282"/>
    </row>
    <row r="41" spans="2:6" ht="15">
      <c r="B41" s="28"/>
      <c r="C41" s="28" t="s">
        <v>278</v>
      </c>
      <c r="D41" s="274">
        <f>D39+D40</f>
        <v>0</v>
      </c>
      <c r="E41" s="275"/>
      <c r="F41" s="276"/>
    </row>
    <row r="42" spans="2:6" ht="15">
      <c r="B42" s="22">
        <v>2</v>
      </c>
      <c r="C42" s="41" t="s">
        <v>187</v>
      </c>
      <c r="D42" s="280"/>
      <c r="E42" s="281"/>
      <c r="F42" s="282"/>
    </row>
    <row r="43" spans="2:6">
      <c r="B43" s="28"/>
      <c r="C43" s="28" t="s">
        <v>11</v>
      </c>
      <c r="D43" s="280"/>
      <c r="E43" s="281"/>
      <c r="F43" s="282"/>
    </row>
    <row r="44" spans="2:6">
      <c r="B44" s="28"/>
      <c r="C44" s="28" t="s">
        <v>164</v>
      </c>
      <c r="D44" s="280"/>
      <c r="E44" s="281"/>
      <c r="F44" s="282"/>
    </row>
    <row r="45" spans="2:6">
      <c r="B45" s="28"/>
      <c r="C45" s="28" t="s">
        <v>12</v>
      </c>
      <c r="D45" s="280"/>
      <c r="E45" s="281"/>
      <c r="F45" s="282"/>
    </row>
    <row r="46" spans="2:6" ht="15">
      <c r="B46" s="28"/>
      <c r="C46" s="28" t="s">
        <v>13</v>
      </c>
      <c r="D46" s="274">
        <f>D43+D44-D45</f>
        <v>0</v>
      </c>
      <c r="E46" s="275"/>
      <c r="F46" s="276"/>
    </row>
    <row r="47" spans="2:6" ht="15">
      <c r="B47" s="28"/>
      <c r="C47" s="28" t="s">
        <v>211</v>
      </c>
      <c r="D47" s="274">
        <f>AVERAGE(D43,D46)</f>
        <v>0</v>
      </c>
      <c r="E47" s="275"/>
      <c r="F47" s="276"/>
    </row>
    <row r="48" spans="2:6">
      <c r="B48" s="28"/>
      <c r="C48" s="28" t="s">
        <v>14</v>
      </c>
      <c r="D48" s="283"/>
      <c r="E48" s="284"/>
      <c r="F48" s="285"/>
    </row>
    <row r="49" spans="2:6" ht="15">
      <c r="B49" s="28"/>
      <c r="C49" s="28" t="s">
        <v>274</v>
      </c>
      <c r="D49" s="274">
        <f>D47*D48</f>
        <v>0</v>
      </c>
      <c r="E49" s="275"/>
      <c r="F49" s="276"/>
    </row>
    <row r="50" spans="2:6">
      <c r="B50" s="28"/>
      <c r="C50" s="28" t="s">
        <v>277</v>
      </c>
      <c r="D50" s="280"/>
      <c r="E50" s="281"/>
      <c r="F50" s="282"/>
    </row>
    <row r="51" spans="2:6" ht="15">
      <c r="B51" s="28"/>
      <c r="C51" s="28" t="s">
        <v>278</v>
      </c>
      <c r="D51" s="274">
        <f>D49+D50</f>
        <v>0</v>
      </c>
      <c r="E51" s="275"/>
      <c r="F51" s="276"/>
    </row>
    <row r="52" spans="2:6">
      <c r="B52" s="28"/>
      <c r="C52" s="28" t="s">
        <v>276</v>
      </c>
      <c r="D52" s="280"/>
      <c r="E52" s="281"/>
      <c r="F52" s="282"/>
    </row>
    <row r="53" spans="2:6" ht="15">
      <c r="B53" s="22"/>
      <c r="C53" s="41" t="s">
        <v>137</v>
      </c>
      <c r="D53" s="280"/>
      <c r="E53" s="281"/>
      <c r="F53" s="282"/>
    </row>
    <row r="54" spans="2:6" ht="15">
      <c r="B54" s="28"/>
      <c r="C54" s="28" t="s">
        <v>11</v>
      </c>
      <c r="D54" s="274">
        <f>D33+D43</f>
        <v>0</v>
      </c>
      <c r="E54" s="275"/>
      <c r="F54" s="276"/>
    </row>
    <row r="55" spans="2:6" ht="15">
      <c r="B55" s="28"/>
      <c r="C55" s="28" t="s">
        <v>164</v>
      </c>
      <c r="D55" s="274">
        <f>D34+D44</f>
        <v>0</v>
      </c>
      <c r="E55" s="275"/>
      <c r="F55" s="276"/>
    </row>
    <row r="56" spans="2:6" ht="15">
      <c r="B56" s="28"/>
      <c r="C56" s="28" t="s">
        <v>12</v>
      </c>
      <c r="D56" s="274">
        <f>D35+D45</f>
        <v>0</v>
      </c>
      <c r="E56" s="275"/>
      <c r="F56" s="276"/>
    </row>
    <row r="57" spans="2:6" ht="15">
      <c r="B57" s="28"/>
      <c r="C57" s="28" t="s">
        <v>13</v>
      </c>
      <c r="D57" s="274">
        <f>D54+D55-D56</f>
        <v>0</v>
      </c>
      <c r="E57" s="275"/>
      <c r="F57" s="276"/>
    </row>
    <row r="58" spans="2:6" ht="15">
      <c r="B58" s="28"/>
      <c r="C58" s="28" t="s">
        <v>211</v>
      </c>
      <c r="D58" s="274">
        <f>AVERAGE(D54,D57)</f>
        <v>0</v>
      </c>
      <c r="E58" s="275"/>
      <c r="F58" s="276"/>
    </row>
    <row r="59" spans="2:6" ht="15">
      <c r="B59" s="28"/>
      <c r="C59" s="28" t="s">
        <v>14</v>
      </c>
      <c r="D59" s="277">
        <f>IFERROR(D60/D58,0)</f>
        <v>0</v>
      </c>
      <c r="E59" s="278"/>
      <c r="F59" s="279"/>
    </row>
    <row r="60" spans="2:6" ht="15">
      <c r="B60" s="28"/>
      <c r="C60" s="28" t="s">
        <v>274</v>
      </c>
      <c r="D60" s="274">
        <f t="shared" ref="D60:D61" si="3">D39+D49</f>
        <v>0</v>
      </c>
      <c r="E60" s="275"/>
      <c r="F60" s="276"/>
    </row>
    <row r="61" spans="2:6" ht="15">
      <c r="B61" s="28"/>
      <c r="C61" s="28" t="s">
        <v>277</v>
      </c>
      <c r="D61" s="274">
        <f t="shared" si="3"/>
        <v>0</v>
      </c>
      <c r="E61" s="275"/>
      <c r="F61" s="276"/>
    </row>
    <row r="62" spans="2:6" ht="15">
      <c r="B62" s="28"/>
      <c r="C62" s="28" t="s">
        <v>278</v>
      </c>
      <c r="D62" s="274">
        <f>D60+D61</f>
        <v>0</v>
      </c>
      <c r="E62" s="275"/>
      <c r="F62" s="276"/>
    </row>
  </sheetData>
  <mergeCells count="42">
    <mergeCell ref="B4:F4"/>
    <mergeCell ref="B3:F3"/>
    <mergeCell ref="B2:F2"/>
    <mergeCell ref="B29:B31"/>
    <mergeCell ref="C29:C31"/>
    <mergeCell ref="B7:B9"/>
    <mergeCell ref="C7:C9"/>
    <mergeCell ref="D7:F7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62:F62"/>
    <mergeCell ref="D57:F57"/>
    <mergeCell ref="D58:F58"/>
    <mergeCell ref="D59:F59"/>
    <mergeCell ref="D60:F60"/>
    <mergeCell ref="D61:F61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F23"/>
  <sheetViews>
    <sheetView showGridLines="0" view="pageBreakPreview" topLeftCell="C1" zoomScaleNormal="95" zoomScaleSheetLayoutView="100" workbookViewId="0">
      <selection activeCell="G13" sqref="G1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C2" s="243" t="s">
        <v>399</v>
      </c>
      <c r="D2" s="243"/>
      <c r="E2" s="243"/>
      <c r="F2" s="243"/>
    </row>
    <row r="3" spans="2:6" ht="14.25" customHeight="1">
      <c r="C3" s="243" t="s">
        <v>472</v>
      </c>
      <c r="D3" s="243"/>
      <c r="E3" s="243"/>
      <c r="F3" s="243"/>
    </row>
    <row r="4" spans="2:6" ht="14.25" customHeight="1">
      <c r="C4" s="243" t="s">
        <v>279</v>
      </c>
      <c r="D4" s="243"/>
      <c r="E4" s="243"/>
      <c r="F4" s="243"/>
    </row>
    <row r="5" spans="2:6" ht="15">
      <c r="B5" s="35"/>
      <c r="C5" s="26"/>
      <c r="D5" s="27"/>
      <c r="E5" s="27"/>
      <c r="F5" s="27"/>
    </row>
    <row r="6" spans="2:6" ht="15">
      <c r="F6" s="35" t="s">
        <v>478</v>
      </c>
    </row>
    <row r="7" spans="2:6" s="15" customFormat="1" ht="15" customHeight="1">
      <c r="B7" s="247" t="s">
        <v>189</v>
      </c>
      <c r="C7" s="250" t="s">
        <v>16</v>
      </c>
      <c r="D7" s="254" t="s">
        <v>400</v>
      </c>
      <c r="E7" s="255"/>
      <c r="F7" s="256"/>
    </row>
    <row r="8" spans="2:6" s="15" customFormat="1" ht="45">
      <c r="B8" s="248"/>
      <c r="C8" s="250"/>
      <c r="D8" s="17" t="s">
        <v>368</v>
      </c>
      <c r="E8" s="17" t="s">
        <v>235</v>
      </c>
      <c r="F8" s="17" t="s">
        <v>204</v>
      </c>
    </row>
    <row r="9" spans="2:6" s="15" customFormat="1" ht="15">
      <c r="B9" s="249"/>
      <c r="C9" s="251"/>
      <c r="D9" s="17" t="s">
        <v>8</v>
      </c>
      <c r="E9" s="17" t="s">
        <v>10</v>
      </c>
      <c r="F9" s="17" t="s">
        <v>226</v>
      </c>
    </row>
    <row r="10" spans="2:6">
      <c r="B10" s="63">
        <v>1</v>
      </c>
      <c r="C10" s="28" t="s">
        <v>280</v>
      </c>
      <c r="D10" s="2"/>
      <c r="E10" s="140">
        <f>'F12'!F17*'F10'!F23*30/366/10</f>
        <v>92.245660511721312</v>
      </c>
      <c r="F10" s="146">
        <f>E10</f>
        <v>92.245660511721312</v>
      </c>
    </row>
    <row r="11" spans="2:6">
      <c r="B11" s="22">
        <f>B10+1</f>
        <v>2</v>
      </c>
      <c r="C11" s="28" t="s">
        <v>281</v>
      </c>
      <c r="D11" s="2"/>
      <c r="E11" s="140">
        <f>E10</f>
        <v>92.245660511721312</v>
      </c>
      <c r="F11" s="146">
        <f>E11</f>
        <v>92.245660511721312</v>
      </c>
    </row>
    <row r="12" spans="2:6">
      <c r="B12" s="22">
        <f t="shared" ref="B12:B20" si="0">B11+1</f>
        <v>3</v>
      </c>
      <c r="C12" s="30" t="s">
        <v>282</v>
      </c>
      <c r="D12" s="2"/>
      <c r="E12" s="140">
        <f>'F10'!F23*'F12'!F18*2/12/10</f>
        <v>1.3733123496249997</v>
      </c>
      <c r="F12" s="146">
        <f>E12</f>
        <v>1.3733123496249997</v>
      </c>
    </row>
    <row r="13" spans="2:6">
      <c r="B13" s="22">
        <f t="shared" si="0"/>
        <v>4</v>
      </c>
      <c r="C13" s="70" t="s">
        <v>283</v>
      </c>
      <c r="D13" s="139">
        <f>'F2'!E14/12</f>
        <v>14.053333333333333</v>
      </c>
      <c r="E13" s="139">
        <f>'F2'!F14/12</f>
        <v>17.965</v>
      </c>
      <c r="F13" s="164">
        <f>'F2'!G14/12</f>
        <v>17.965</v>
      </c>
    </row>
    <row r="14" spans="2:6" s="34" customFormat="1" ht="15">
      <c r="B14" s="22">
        <f t="shared" si="0"/>
        <v>5</v>
      </c>
      <c r="C14" s="39" t="s">
        <v>284</v>
      </c>
      <c r="D14" s="71"/>
      <c r="E14" s="146">
        <f>'F1'!G11*20%</f>
        <v>43.116000000000007</v>
      </c>
      <c r="F14" s="146">
        <f>'F1'!H11*20%</f>
        <v>43.116000000000007</v>
      </c>
    </row>
    <row r="15" spans="2:6">
      <c r="B15" s="22">
        <f t="shared" si="0"/>
        <v>6</v>
      </c>
      <c r="C15" s="70" t="s">
        <v>394</v>
      </c>
      <c r="D15" s="139">
        <f>'F1'!F22*45/365</f>
        <v>204.11383561643837</v>
      </c>
      <c r="E15" s="139">
        <f ca="1">'F1'!G22*2/12</f>
        <v>256.6572771450264</v>
      </c>
      <c r="F15" s="139">
        <f ca="1">'F1'!H22*2/12</f>
        <v>256.6572771450264</v>
      </c>
    </row>
    <row r="16" spans="2:6">
      <c r="B16" s="22"/>
      <c r="C16" s="70" t="s">
        <v>285</v>
      </c>
      <c r="D16" s="71"/>
      <c r="E16" s="30"/>
      <c r="F16" s="3"/>
    </row>
    <row r="17" spans="2:6">
      <c r="B17" s="22">
        <f>B15+1</f>
        <v>7</v>
      </c>
      <c r="C17" s="28" t="s">
        <v>395</v>
      </c>
      <c r="D17" s="139">
        <f>'F1'!F21/12</f>
        <v>102.97666666666667</v>
      </c>
      <c r="E17" s="139">
        <f>'F10'!F23*'F12'!F19*30/366/10</f>
        <v>92.921060027930324</v>
      </c>
      <c r="F17" s="139">
        <f>E17</f>
        <v>92.921060027930324</v>
      </c>
    </row>
    <row r="18" spans="2:6" ht="15">
      <c r="B18" s="22">
        <f t="shared" si="0"/>
        <v>8</v>
      </c>
      <c r="C18" s="28" t="s">
        <v>53</v>
      </c>
      <c r="D18" s="135">
        <f>SUM(D10:D15)-D17</f>
        <v>115.19050228310503</v>
      </c>
      <c r="E18" s="135">
        <f t="shared" ref="E18:F18" ca="1" si="1">SUM(E10:E15)-E17</f>
        <v>410.68185049016375</v>
      </c>
      <c r="F18" s="135">
        <f t="shared" ca="1" si="1"/>
        <v>410.68185049016375</v>
      </c>
    </row>
    <row r="19" spans="2:6">
      <c r="B19" s="22">
        <f t="shared" si="0"/>
        <v>9</v>
      </c>
      <c r="C19" s="28" t="s">
        <v>286</v>
      </c>
      <c r="D19" s="137"/>
      <c r="E19" s="137">
        <v>0.1008</v>
      </c>
      <c r="F19" s="137">
        <v>0.1008</v>
      </c>
    </row>
    <row r="20" spans="2:6" ht="15">
      <c r="B20" s="22">
        <f t="shared" si="0"/>
        <v>10</v>
      </c>
      <c r="C20" s="70" t="s">
        <v>287</v>
      </c>
      <c r="D20" s="135">
        <v>33.46</v>
      </c>
      <c r="E20" s="135">
        <f t="shared" ref="E20:F20" ca="1" si="2">E18*E19</f>
        <v>41.396730529408508</v>
      </c>
      <c r="F20" s="135">
        <f t="shared" ca="1" si="2"/>
        <v>41.396730529408508</v>
      </c>
    </row>
    <row r="21" spans="2:6">
      <c r="D21" s="171"/>
    </row>
    <row r="22" spans="2:6">
      <c r="C22" s="5" t="s">
        <v>237</v>
      </c>
    </row>
    <row r="23" spans="2:6" ht="38.25" customHeight="1">
      <c r="C23" s="289" t="s">
        <v>480</v>
      </c>
      <c r="D23" s="289"/>
      <c r="E23" s="289"/>
      <c r="F23" s="289"/>
    </row>
  </sheetData>
  <mergeCells count="7">
    <mergeCell ref="C2:F2"/>
    <mergeCell ref="C23:F23"/>
    <mergeCell ref="B7:B9"/>
    <mergeCell ref="C7:C9"/>
    <mergeCell ref="D7:F7"/>
    <mergeCell ref="C4:F4"/>
    <mergeCell ref="C3:F3"/>
  </mergeCells>
  <pageMargins left="1.27" right="0.25" top="1" bottom="1" header="0.25" footer="0.25"/>
  <pageSetup paperSize="9" scale="11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view="pageBreakPreview" zoomScaleNormal="96" zoomScaleSheetLayoutView="100" workbookViewId="0">
      <selection activeCell="G13" sqref="G13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B2" s="243" t="s">
        <v>399</v>
      </c>
      <c r="C2" s="243"/>
      <c r="D2" s="243"/>
      <c r="E2" s="243"/>
      <c r="F2" s="243"/>
    </row>
    <row r="3" spans="2:6" ht="14.25" customHeight="1">
      <c r="B3" s="243" t="s">
        <v>472</v>
      </c>
      <c r="C3" s="243"/>
      <c r="D3" s="243"/>
      <c r="E3" s="243"/>
      <c r="F3" s="243"/>
    </row>
    <row r="4" spans="2:6" ht="14.25" customHeight="1">
      <c r="B4" s="243" t="s">
        <v>288</v>
      </c>
      <c r="C4" s="243"/>
      <c r="D4" s="243"/>
      <c r="E4" s="243"/>
      <c r="F4" s="243"/>
    </row>
    <row r="5" spans="2:6" ht="15">
      <c r="B5" s="35"/>
      <c r="C5" s="26"/>
      <c r="D5" s="27"/>
      <c r="E5" s="27"/>
      <c r="F5" s="27"/>
    </row>
    <row r="6" spans="2:6" ht="15">
      <c r="F6" s="237" t="s">
        <v>478</v>
      </c>
    </row>
    <row r="7" spans="2:6" s="15" customFormat="1" ht="15" customHeight="1">
      <c r="B7" s="247" t="s">
        <v>189</v>
      </c>
      <c r="C7" s="250" t="s">
        <v>16</v>
      </c>
      <c r="D7" s="254" t="s">
        <v>400</v>
      </c>
      <c r="E7" s="255"/>
      <c r="F7" s="256"/>
    </row>
    <row r="8" spans="2:6" s="15" customFormat="1" ht="45">
      <c r="B8" s="248"/>
      <c r="C8" s="250"/>
      <c r="D8" s="17" t="s">
        <v>368</v>
      </c>
      <c r="E8" s="17" t="s">
        <v>235</v>
      </c>
      <c r="F8" s="17" t="s">
        <v>204</v>
      </c>
    </row>
    <row r="9" spans="2:6" s="15" customFormat="1" ht="15">
      <c r="B9" s="249"/>
      <c r="C9" s="251"/>
      <c r="D9" s="17" t="s">
        <v>8</v>
      </c>
      <c r="E9" s="17" t="s">
        <v>10</v>
      </c>
      <c r="F9" s="17" t="s">
        <v>226</v>
      </c>
    </row>
    <row r="10" spans="2:6">
      <c r="B10" s="63">
        <v>1</v>
      </c>
      <c r="C10" s="28" t="s">
        <v>220</v>
      </c>
      <c r="D10" s="149"/>
      <c r="E10" s="42">
        <f>'F4'!F22*0.3</f>
        <v>764.649</v>
      </c>
      <c r="F10" s="42">
        <f>E10</f>
        <v>764.649</v>
      </c>
    </row>
    <row r="11" spans="2:6">
      <c r="B11" s="22">
        <f>B10+1</f>
        <v>2</v>
      </c>
      <c r="C11" s="28" t="s">
        <v>221</v>
      </c>
      <c r="D11" s="149"/>
      <c r="E11" s="146">
        <f>F3.1!H12</f>
        <v>0.14000000000000001</v>
      </c>
      <c r="F11" s="146">
        <f>E11</f>
        <v>0.14000000000000001</v>
      </c>
    </row>
    <row r="12" spans="2:6">
      <c r="B12" s="22">
        <f t="shared" ref="B12:B22" si="0">B11+1</f>
        <v>3</v>
      </c>
      <c r="C12" s="30" t="s">
        <v>17</v>
      </c>
      <c r="D12" s="151">
        <f>D11*25%</f>
        <v>0</v>
      </c>
      <c r="E12" s="151">
        <f>E11*30%</f>
        <v>4.2000000000000003E-2</v>
      </c>
      <c r="F12" s="151">
        <f>E12</f>
        <v>4.2000000000000003E-2</v>
      </c>
    </row>
    <row r="13" spans="2:6" ht="28.5">
      <c r="B13" s="22">
        <f t="shared" si="0"/>
        <v>4</v>
      </c>
      <c r="C13" s="70" t="s">
        <v>18</v>
      </c>
      <c r="D13" s="153"/>
      <c r="E13" s="42"/>
      <c r="F13" s="149"/>
    </row>
    <row r="14" spans="2:6" s="34" customFormat="1" ht="15">
      <c r="B14" s="22">
        <f t="shared" si="0"/>
        <v>5</v>
      </c>
      <c r="C14" s="39" t="s">
        <v>19</v>
      </c>
      <c r="D14" s="154">
        <f>D10+D12-D13</f>
        <v>0</v>
      </c>
      <c r="E14" s="154">
        <f t="shared" ref="E14" si="1">E10+E12-E13</f>
        <v>764.69100000000003</v>
      </c>
      <c r="F14" s="154">
        <f>F10+F12-F13</f>
        <v>764.69100000000003</v>
      </c>
    </row>
    <row r="15" spans="2:6" s="34" customFormat="1" ht="15">
      <c r="B15" s="22"/>
      <c r="C15" s="72" t="s">
        <v>289</v>
      </c>
      <c r="D15" s="71"/>
      <c r="E15" s="30"/>
      <c r="F15" s="3"/>
    </row>
    <row r="16" spans="2:6" s="34" customFormat="1" ht="15">
      <c r="B16" s="22">
        <f>B14+1</f>
        <v>6</v>
      </c>
      <c r="C16" s="39" t="s">
        <v>290</v>
      </c>
      <c r="D16" s="136">
        <v>0.155</v>
      </c>
      <c r="E16" s="136">
        <v>0.155</v>
      </c>
      <c r="F16" s="136">
        <v>0.155</v>
      </c>
    </row>
    <row r="17" spans="2:6" s="34" customFormat="1" ht="15">
      <c r="B17" s="22">
        <f>B16+1</f>
        <v>7</v>
      </c>
      <c r="C17" s="39" t="s">
        <v>291</v>
      </c>
      <c r="D17" s="137">
        <v>0.17782000000000001</v>
      </c>
      <c r="E17" s="137">
        <v>0.25168000000000001</v>
      </c>
      <c r="F17" s="137">
        <v>0.25168000000000001</v>
      </c>
    </row>
    <row r="18" spans="2:6" s="34" customFormat="1" ht="15">
      <c r="B18" s="22">
        <f>B17+1</f>
        <v>8</v>
      </c>
      <c r="C18" s="31" t="s">
        <v>289</v>
      </c>
      <c r="D18" s="138">
        <f>D16/(1-D17)</f>
        <v>0.18852319443430879</v>
      </c>
      <c r="E18" s="138">
        <f t="shared" ref="E18:F18" si="2">E16/(1-E17)</f>
        <v>0.20713063929869574</v>
      </c>
      <c r="F18" s="138">
        <f t="shared" si="2"/>
        <v>0.20713063929869574</v>
      </c>
    </row>
    <row r="19" spans="2:6" ht="15">
      <c r="B19" s="22"/>
      <c r="C19" s="72" t="s">
        <v>178</v>
      </c>
      <c r="D19" s="134"/>
      <c r="E19" s="30"/>
      <c r="F19" s="3"/>
    </row>
    <row r="20" spans="2:6" ht="17.25" customHeight="1">
      <c r="B20" s="22">
        <f>B18+1</f>
        <v>9</v>
      </c>
      <c r="C20" s="70" t="s">
        <v>222</v>
      </c>
      <c r="D20" s="135">
        <f>D10*D18</f>
        <v>0</v>
      </c>
      <c r="E20" s="135">
        <f t="shared" ref="E20:F20" si="3">E10*E18</f>
        <v>158.38223620910841</v>
      </c>
      <c r="F20" s="135">
        <f t="shared" si="3"/>
        <v>158.38223620910841</v>
      </c>
    </row>
    <row r="21" spans="2:6" ht="18.75" customHeight="1">
      <c r="B21" s="22">
        <f t="shared" si="0"/>
        <v>10</v>
      </c>
      <c r="C21" s="70" t="s">
        <v>223</v>
      </c>
      <c r="D21" s="135">
        <f>AVERAGE(D10,D14)*D18-D20</f>
        <v>0</v>
      </c>
      <c r="E21" s="135">
        <f t="shared" ref="E21:F21" si="4">AVERAGE(E10,E14)*E18-E20</f>
        <v>4.3497434252799394E-3</v>
      </c>
      <c r="F21" s="135">
        <f t="shared" si="4"/>
        <v>4.3497434252799394E-3</v>
      </c>
    </row>
    <row r="22" spans="2:6" ht="15">
      <c r="B22" s="22">
        <f t="shared" si="0"/>
        <v>11</v>
      </c>
      <c r="C22" s="41" t="s">
        <v>179</v>
      </c>
      <c r="D22" s="135">
        <v>143.61000000000001</v>
      </c>
      <c r="E22" s="135">
        <f>ROUND((E20+E21),2)</f>
        <v>158.38999999999999</v>
      </c>
      <c r="F22" s="135">
        <f>ROUND((F20+F21),2)</f>
        <v>158.38999999999999</v>
      </c>
    </row>
    <row r="23" spans="2:6">
      <c r="C23" s="5" t="s">
        <v>237</v>
      </c>
    </row>
    <row r="24" spans="2:6">
      <c r="C24" s="5" t="s">
        <v>397</v>
      </c>
    </row>
  </sheetData>
  <mergeCells count="6">
    <mergeCell ref="B2:F2"/>
    <mergeCell ref="B7:B9"/>
    <mergeCell ref="C7:C9"/>
    <mergeCell ref="D7:F7"/>
    <mergeCell ref="B4:F4"/>
    <mergeCell ref="B3:F3"/>
  </mergeCells>
  <pageMargins left="1.5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4"/>
  <sheetViews>
    <sheetView showGridLines="0" view="pageBreakPreview" zoomScale="90" zoomScaleNormal="112" zoomScaleSheetLayoutView="90" workbookViewId="0">
      <selection activeCell="G13" sqref="G13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285156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6"/>
    </row>
    <row r="3" spans="2:6" ht="14.25" customHeight="1">
      <c r="B3" s="243" t="s">
        <v>399</v>
      </c>
      <c r="C3" s="243"/>
      <c r="D3" s="243"/>
      <c r="E3" s="243"/>
      <c r="F3" s="243"/>
    </row>
    <row r="4" spans="2:6" ht="14.25" customHeight="1">
      <c r="B4" s="243" t="s">
        <v>472</v>
      </c>
      <c r="C4" s="243"/>
      <c r="D4" s="243"/>
      <c r="E4" s="243"/>
      <c r="F4" s="243"/>
    </row>
    <row r="5" spans="2:6" ht="15">
      <c r="B5" s="243" t="s">
        <v>292</v>
      </c>
      <c r="C5" s="243"/>
      <c r="D5" s="243"/>
      <c r="E5" s="243"/>
      <c r="F5" s="243"/>
    </row>
    <row r="6" spans="2:6">
      <c r="F6" s="238" t="s">
        <v>479</v>
      </c>
    </row>
    <row r="7" spans="2:6" s="15" customFormat="1" ht="15" customHeight="1">
      <c r="B7" s="247" t="s">
        <v>189</v>
      </c>
      <c r="C7" s="250" t="s">
        <v>16</v>
      </c>
      <c r="D7" s="254" t="s">
        <v>400</v>
      </c>
      <c r="E7" s="255"/>
      <c r="F7" s="256"/>
    </row>
    <row r="8" spans="2:6" s="15" customFormat="1" ht="30">
      <c r="B8" s="248"/>
      <c r="C8" s="250"/>
      <c r="D8" s="17" t="s">
        <v>368</v>
      </c>
      <c r="E8" s="17" t="s">
        <v>235</v>
      </c>
      <c r="F8" s="17" t="s">
        <v>204</v>
      </c>
    </row>
    <row r="9" spans="2:6" s="15" customFormat="1" ht="15">
      <c r="B9" s="249"/>
      <c r="C9" s="251"/>
      <c r="D9" s="17" t="s">
        <v>8</v>
      </c>
      <c r="E9" s="17" t="s">
        <v>10</v>
      </c>
      <c r="F9" s="17" t="s">
        <v>226</v>
      </c>
    </row>
    <row r="10" spans="2:6" s="15" customFormat="1">
      <c r="B10" s="63">
        <v>1</v>
      </c>
      <c r="C10" s="172" t="s">
        <v>415</v>
      </c>
      <c r="D10" s="173"/>
      <c r="E10" s="174">
        <v>0.18535866272515042</v>
      </c>
      <c r="F10" s="174">
        <v>0.18535866272515042</v>
      </c>
    </row>
    <row r="11" spans="2:6" s="15" customFormat="1">
      <c r="B11" s="63">
        <f>B10+1</f>
        <v>2</v>
      </c>
      <c r="C11" s="172" t="s">
        <v>416</v>
      </c>
      <c r="D11" s="173"/>
      <c r="E11" s="174">
        <v>20.568913063181817</v>
      </c>
      <c r="F11" s="174">
        <v>20.568913063181817</v>
      </c>
    </row>
    <row r="12" spans="2:6" s="15" customFormat="1">
      <c r="B12" s="63">
        <f t="shared" ref="B12:B31" si="0">B11+1</f>
        <v>3</v>
      </c>
      <c r="C12" s="172" t="s">
        <v>417</v>
      </c>
      <c r="D12" s="173"/>
      <c r="E12" s="174">
        <v>0.52756849454545462</v>
      </c>
      <c r="F12" s="174">
        <v>0.52756849454545462</v>
      </c>
    </row>
    <row r="13" spans="2:6" s="15" customFormat="1">
      <c r="B13" s="63">
        <f t="shared" si="0"/>
        <v>4</v>
      </c>
      <c r="C13" s="172" t="s">
        <v>418</v>
      </c>
      <c r="D13" s="173"/>
      <c r="E13" s="174">
        <v>0.84146205045454536</v>
      </c>
      <c r="F13" s="174">
        <v>0.84146205045454536</v>
      </c>
    </row>
    <row r="14" spans="2:6" s="15" customFormat="1">
      <c r="B14" s="63">
        <f t="shared" si="0"/>
        <v>5</v>
      </c>
      <c r="C14" s="172" t="s">
        <v>419</v>
      </c>
      <c r="D14" s="174"/>
      <c r="E14" s="174">
        <v>0</v>
      </c>
      <c r="F14" s="174">
        <v>0</v>
      </c>
    </row>
    <row r="15" spans="2:6" s="15" customFormat="1">
      <c r="B15" s="63">
        <f t="shared" si="0"/>
        <v>6</v>
      </c>
      <c r="C15" s="172" t="s">
        <v>420</v>
      </c>
      <c r="D15" s="174"/>
      <c r="E15" s="174">
        <v>0</v>
      </c>
      <c r="F15" s="174">
        <v>0</v>
      </c>
    </row>
    <row r="16" spans="2:6" s="15" customFormat="1">
      <c r="B16" s="63">
        <f t="shared" si="0"/>
        <v>7</v>
      </c>
      <c r="C16" s="172" t="s">
        <v>421</v>
      </c>
      <c r="D16" s="174"/>
      <c r="E16" s="174">
        <v>5.923420444032243E-2</v>
      </c>
      <c r="F16" s="174">
        <v>5.923420444032243E-2</v>
      </c>
    </row>
    <row r="17" spans="2:6" s="15" customFormat="1">
      <c r="B17" s="63">
        <f t="shared" si="0"/>
        <v>8</v>
      </c>
      <c r="C17" s="172" t="s">
        <v>422</v>
      </c>
      <c r="D17" s="174"/>
      <c r="E17" s="174">
        <v>1.2714231966027574E-4</v>
      </c>
      <c r="F17" s="174">
        <v>1.2714231966027574E-4</v>
      </c>
    </row>
    <row r="18" spans="2:6" s="15" customFormat="1">
      <c r="B18" s="63">
        <f t="shared" si="0"/>
        <v>9</v>
      </c>
      <c r="C18" s="172" t="s">
        <v>423</v>
      </c>
      <c r="D18" s="174"/>
      <c r="E18" s="174">
        <v>0.11687596268203727</v>
      </c>
      <c r="F18" s="174">
        <v>0.11687596268203727</v>
      </c>
    </row>
    <row r="19" spans="2:6" s="15" customFormat="1">
      <c r="B19" s="63">
        <f t="shared" si="0"/>
        <v>10</v>
      </c>
      <c r="C19" s="172" t="s">
        <v>424</v>
      </c>
      <c r="D19" s="174"/>
      <c r="E19" s="174">
        <v>1.635561797059794E-3</v>
      </c>
      <c r="F19" s="174">
        <v>1.635561797059794E-3</v>
      </c>
    </row>
    <row r="20" spans="2:6" s="15" customFormat="1">
      <c r="B20" s="63">
        <f t="shared" si="0"/>
        <v>11</v>
      </c>
      <c r="C20" s="172" t="s">
        <v>425</v>
      </c>
      <c r="D20" s="174"/>
      <c r="E20" s="174">
        <v>3.0977108088187676E-2</v>
      </c>
      <c r="F20" s="174">
        <v>3.0977108088187676E-2</v>
      </c>
    </row>
    <row r="21" spans="2:6" s="15" customFormat="1">
      <c r="B21" s="63">
        <f t="shared" si="0"/>
        <v>12</v>
      </c>
      <c r="C21" s="172" t="s">
        <v>426</v>
      </c>
      <c r="D21" s="174"/>
      <c r="E21" s="174">
        <v>7.0601320251266302E-3</v>
      </c>
      <c r="F21" s="174">
        <v>7.0601320251266302E-3</v>
      </c>
    </row>
    <row r="22" spans="2:6">
      <c r="B22" s="63">
        <f t="shared" si="0"/>
        <v>13</v>
      </c>
      <c r="C22" s="172" t="s">
        <v>427</v>
      </c>
      <c r="D22" s="174"/>
      <c r="E22" s="174">
        <v>0.19167442292101275</v>
      </c>
      <c r="F22" s="174">
        <v>0.19167442292101275</v>
      </c>
    </row>
    <row r="23" spans="2:6">
      <c r="B23" s="63">
        <f t="shared" si="0"/>
        <v>14</v>
      </c>
      <c r="C23" s="172" t="s">
        <v>428</v>
      </c>
      <c r="D23" s="174"/>
      <c r="E23" s="174">
        <v>0</v>
      </c>
      <c r="F23" s="174">
        <v>0</v>
      </c>
    </row>
    <row r="24" spans="2:6">
      <c r="B24" s="63">
        <f t="shared" si="0"/>
        <v>15</v>
      </c>
      <c r="C24" s="172" t="s">
        <v>429</v>
      </c>
      <c r="D24" s="174"/>
      <c r="E24" s="174">
        <v>0</v>
      </c>
      <c r="F24" s="174">
        <v>0</v>
      </c>
    </row>
    <row r="25" spans="2:6">
      <c r="B25" s="63">
        <f t="shared" si="0"/>
        <v>16</v>
      </c>
      <c r="C25" s="172" t="s">
        <v>430</v>
      </c>
      <c r="D25" s="174"/>
      <c r="E25" s="174">
        <v>1.5590268703883185E-2</v>
      </c>
      <c r="F25" s="174">
        <v>1.5590268703883185E-2</v>
      </c>
    </row>
    <row r="26" spans="2:6" ht="15.75" customHeight="1">
      <c r="B26" s="63">
        <f t="shared" si="0"/>
        <v>17</v>
      </c>
      <c r="C26" s="172" t="s">
        <v>431</v>
      </c>
      <c r="D26" s="175">
        <f>SUM(D10:D21)</f>
        <v>0</v>
      </c>
      <c r="E26" s="174">
        <v>1.4817023728501246E-2</v>
      </c>
      <c r="F26" s="174">
        <v>1.4817023728501246E-2</v>
      </c>
    </row>
    <row r="27" spans="2:6" s="34" customFormat="1" ht="15">
      <c r="B27" s="63">
        <f t="shared" si="0"/>
        <v>18</v>
      </c>
      <c r="C27" s="172" t="s">
        <v>432</v>
      </c>
      <c r="D27" s="175"/>
      <c r="E27" s="174">
        <v>5.6066323073568514E-2</v>
      </c>
      <c r="F27" s="174">
        <v>5.6066323073568514E-2</v>
      </c>
    </row>
    <row r="28" spans="2:6" s="34" customFormat="1" ht="15">
      <c r="B28" s="63">
        <f t="shared" si="0"/>
        <v>19</v>
      </c>
      <c r="C28" s="172" t="s">
        <v>433</v>
      </c>
      <c r="D28" s="175"/>
      <c r="E28" s="174">
        <v>1.582330576597055E-2</v>
      </c>
      <c r="F28" s="174">
        <v>1.582330576597055E-2</v>
      </c>
    </row>
    <row r="29" spans="2:6" s="34" customFormat="1" ht="12.75" customHeight="1">
      <c r="B29" s="63">
        <f t="shared" si="0"/>
        <v>20</v>
      </c>
      <c r="C29" s="172" t="s">
        <v>434</v>
      </c>
      <c r="D29" s="175"/>
      <c r="E29" s="174">
        <v>9.0977648702946796E-3</v>
      </c>
      <c r="F29" s="174">
        <v>9.0977648702946796E-3</v>
      </c>
    </row>
    <row r="30" spans="2:6" s="34" customFormat="1" ht="15">
      <c r="B30" s="63">
        <f t="shared" si="0"/>
        <v>21</v>
      </c>
      <c r="C30" s="172" t="s">
        <v>435</v>
      </c>
      <c r="D30" s="175"/>
      <c r="E30" s="174">
        <v>3.7980203791787414E-3</v>
      </c>
      <c r="F30" s="174">
        <v>3.7980203791787414E-3</v>
      </c>
    </row>
    <row r="31" spans="2:6" s="34" customFormat="1" ht="15">
      <c r="B31" s="63">
        <f t="shared" si="0"/>
        <v>22</v>
      </c>
      <c r="C31" s="172" t="s">
        <v>436</v>
      </c>
      <c r="D31" s="175"/>
      <c r="E31" s="174">
        <v>3.9060953236363631</v>
      </c>
      <c r="F31" s="174">
        <v>3.9060953236363631</v>
      </c>
    </row>
    <row r="32" spans="2:6">
      <c r="B32" s="22"/>
      <c r="C32" s="70"/>
      <c r="D32" s="71"/>
      <c r="E32" s="30"/>
      <c r="F32" s="3"/>
    </row>
    <row r="33" spans="2:6">
      <c r="B33" s="22"/>
      <c r="C33" s="70"/>
      <c r="D33" s="71"/>
      <c r="E33" s="30"/>
      <c r="F33" s="3"/>
    </row>
    <row r="34" spans="2:6" ht="15">
      <c r="B34" s="22"/>
      <c r="C34" s="32" t="s">
        <v>137</v>
      </c>
      <c r="D34" s="135">
        <f>ROUND(SUM(D10:D33),2)</f>
        <v>0</v>
      </c>
      <c r="E34" s="135">
        <f t="shared" ref="E34:F34" si="1">ROUND(SUM(E10:E33),2)</f>
        <v>26.55</v>
      </c>
      <c r="F34" s="135">
        <f t="shared" si="1"/>
        <v>26.55</v>
      </c>
    </row>
  </sheetData>
  <mergeCells count="6">
    <mergeCell ref="B3:F3"/>
    <mergeCell ref="B7:B9"/>
    <mergeCell ref="C7:C9"/>
    <mergeCell ref="D7:F7"/>
    <mergeCell ref="B5:F5"/>
    <mergeCell ref="B4:F4"/>
  </mergeCells>
  <pageMargins left="0.52" right="0.25" top="0.5" bottom="1" header="0.25" footer="0.25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B2:G31"/>
  <sheetViews>
    <sheetView showGridLines="0" view="pageBreakPreview" zoomScale="86" zoomScaleNormal="93" zoomScaleSheetLayoutView="86" workbookViewId="0">
      <selection activeCell="G13" sqref="G13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6" width="15.7109375" style="5" customWidth="1"/>
    <col min="7" max="16384" width="9.28515625" style="5"/>
  </cols>
  <sheetData>
    <row r="2" spans="2:7" ht="15">
      <c r="B2" s="243" t="s">
        <v>399</v>
      </c>
      <c r="C2" s="243"/>
      <c r="D2" s="243"/>
      <c r="E2" s="243"/>
      <c r="F2" s="243"/>
      <c r="G2" s="243"/>
    </row>
    <row r="3" spans="2:7" ht="15">
      <c r="B3" s="243" t="s">
        <v>472</v>
      </c>
      <c r="C3" s="243"/>
      <c r="D3" s="243"/>
      <c r="E3" s="243"/>
      <c r="F3" s="243"/>
      <c r="G3" s="243"/>
    </row>
    <row r="4" spans="2:7" ht="14.25" customHeight="1">
      <c r="B4" s="243" t="s">
        <v>294</v>
      </c>
      <c r="C4" s="243"/>
      <c r="D4" s="243"/>
      <c r="E4" s="243"/>
      <c r="F4" s="243"/>
    </row>
    <row r="5" spans="2:7" ht="15">
      <c r="B5" s="26"/>
      <c r="C5" s="74"/>
      <c r="D5" s="75"/>
    </row>
    <row r="6" spans="2:7" ht="15" customHeight="1">
      <c r="B6" s="258" t="s">
        <v>2</v>
      </c>
      <c r="C6" s="263" t="s">
        <v>16</v>
      </c>
      <c r="D6" s="69" t="s">
        <v>400</v>
      </c>
      <c r="E6" s="156" t="s">
        <v>401</v>
      </c>
      <c r="F6" s="25" t="s">
        <v>402</v>
      </c>
    </row>
    <row r="7" spans="2:7" ht="15">
      <c r="B7" s="258"/>
      <c r="C7" s="263"/>
      <c r="D7" s="17" t="s">
        <v>293</v>
      </c>
      <c r="E7" s="17" t="s">
        <v>234</v>
      </c>
      <c r="F7" s="17" t="s">
        <v>227</v>
      </c>
    </row>
    <row r="8" spans="2:7" ht="32.25" customHeight="1">
      <c r="B8" s="290"/>
      <c r="C8" s="291"/>
      <c r="D8" s="17" t="s">
        <v>3</v>
      </c>
      <c r="E8" s="17" t="s">
        <v>468</v>
      </c>
      <c r="F8" s="17" t="s">
        <v>468</v>
      </c>
    </row>
    <row r="9" spans="2:7" ht="15">
      <c r="B9" s="76">
        <v>1</v>
      </c>
      <c r="C9" s="77" t="s">
        <v>161</v>
      </c>
      <c r="D9" s="73"/>
      <c r="E9" s="73"/>
      <c r="F9" s="28"/>
    </row>
    <row r="10" spans="2:7" s="34" customFormat="1" ht="15">
      <c r="B10" s="78" t="s">
        <v>55</v>
      </c>
      <c r="C10" s="41" t="s">
        <v>56</v>
      </c>
      <c r="D10" s="79"/>
      <c r="E10" s="41"/>
      <c r="F10" s="41"/>
    </row>
    <row r="11" spans="2:7" s="34" customFormat="1" ht="15">
      <c r="B11" s="80"/>
      <c r="C11" s="30" t="s">
        <v>57</v>
      </c>
      <c r="D11" s="79"/>
      <c r="E11" s="41"/>
      <c r="F11" s="41"/>
    </row>
    <row r="12" spans="2:7" s="34" customFormat="1" ht="15">
      <c r="B12" s="80"/>
      <c r="C12" s="30" t="s">
        <v>58</v>
      </c>
      <c r="D12" s="79"/>
      <c r="E12" s="41"/>
      <c r="F12" s="41"/>
    </row>
    <row r="13" spans="2:7" s="34" customFormat="1" ht="15">
      <c r="B13" s="80"/>
      <c r="C13" s="30" t="s">
        <v>59</v>
      </c>
      <c r="D13" s="79"/>
      <c r="E13" s="41"/>
      <c r="F13" s="41"/>
    </row>
    <row r="14" spans="2:7" s="34" customFormat="1" ht="15">
      <c r="B14" s="80"/>
      <c r="C14" s="81"/>
      <c r="D14" s="292" t="s">
        <v>477</v>
      </c>
      <c r="E14" s="293"/>
      <c r="F14" s="294"/>
    </row>
    <row r="15" spans="2:7" s="34" customFormat="1" ht="15">
      <c r="B15" s="78" t="s">
        <v>60</v>
      </c>
      <c r="C15" s="82" t="s">
        <v>61</v>
      </c>
      <c r="D15" s="79"/>
      <c r="E15" s="41"/>
      <c r="F15" s="41"/>
    </row>
    <row r="16" spans="2:7" s="34" customFormat="1" ht="15">
      <c r="B16" s="80"/>
      <c r="C16" s="30" t="s">
        <v>57</v>
      </c>
      <c r="D16" s="79"/>
      <c r="E16" s="41"/>
      <c r="F16" s="41"/>
    </row>
    <row r="17" spans="2:6">
      <c r="B17" s="80"/>
      <c r="C17" s="30" t="s">
        <v>58</v>
      </c>
      <c r="D17" s="79"/>
      <c r="E17" s="28"/>
      <c r="F17" s="28"/>
    </row>
    <row r="18" spans="2:6">
      <c r="B18" s="83"/>
      <c r="C18" s="30" t="s">
        <v>62</v>
      </c>
      <c r="D18" s="79"/>
      <c r="E18" s="28"/>
      <c r="F18" s="28"/>
    </row>
    <row r="19" spans="2:6" ht="15">
      <c r="B19" s="83"/>
      <c r="C19" s="82"/>
      <c r="D19" s="79"/>
      <c r="E19" s="28"/>
      <c r="F19" s="28"/>
    </row>
    <row r="20" spans="2:6" ht="17.25" customHeight="1">
      <c r="B20" s="78">
        <v>2</v>
      </c>
      <c r="C20" s="77" t="s">
        <v>162</v>
      </c>
      <c r="D20" s="79"/>
      <c r="E20" s="28"/>
      <c r="F20" s="28"/>
    </row>
    <row r="21" spans="2:6" ht="17.25" customHeight="1">
      <c r="B21" s="78"/>
      <c r="C21" s="77" t="s">
        <v>63</v>
      </c>
      <c r="D21" s="79"/>
      <c r="E21" s="28"/>
      <c r="F21" s="28"/>
    </row>
    <row r="22" spans="2:6" ht="17.25" customHeight="1">
      <c r="B22" s="78"/>
      <c r="C22" s="77" t="s">
        <v>63</v>
      </c>
      <c r="D22" s="79"/>
      <c r="E22" s="28"/>
      <c r="F22" s="28"/>
    </row>
    <row r="23" spans="2:6" ht="15">
      <c r="B23" s="80"/>
      <c r="C23" s="82" t="s">
        <v>64</v>
      </c>
      <c r="D23" s="79"/>
      <c r="E23" s="28"/>
      <c r="F23" s="28"/>
    </row>
    <row r="25" spans="2:6" ht="15">
      <c r="B25" s="84" t="s">
        <v>52</v>
      </c>
      <c r="C25" s="85"/>
      <c r="D25" s="85"/>
      <c r="E25" s="85"/>
    </row>
    <row r="26" spans="2:6">
      <c r="B26" s="5" t="s">
        <v>206</v>
      </c>
      <c r="D26" s="86"/>
      <c r="E26" s="85"/>
    </row>
    <row r="27" spans="2:6" ht="18" customHeight="1">
      <c r="B27" s="85"/>
      <c r="E27" s="85"/>
    </row>
    <row r="28" spans="2:6">
      <c r="B28" s="85"/>
      <c r="C28" s="85"/>
      <c r="D28" s="85"/>
      <c r="E28" s="85"/>
    </row>
    <row r="29" spans="2:6">
      <c r="B29" s="85"/>
      <c r="C29" s="85"/>
      <c r="D29" s="85"/>
      <c r="E29" s="85"/>
    </row>
    <row r="30" spans="2:6">
      <c r="B30" s="85"/>
      <c r="C30" s="85"/>
      <c r="D30" s="85"/>
      <c r="E30" s="85"/>
    </row>
    <row r="31" spans="2:6">
      <c r="B31" s="85"/>
      <c r="C31" s="85"/>
      <c r="D31" s="85"/>
      <c r="E31" s="85"/>
    </row>
  </sheetData>
  <mergeCells count="6">
    <mergeCell ref="B2:G2"/>
    <mergeCell ref="B6:B8"/>
    <mergeCell ref="C6:C8"/>
    <mergeCell ref="D14:F14"/>
    <mergeCell ref="B4:F4"/>
    <mergeCell ref="B3:G3"/>
  </mergeCells>
  <pageMargins left="1.75" right="0.75" top="0.5" bottom="0.5" header="0.5" footer="0.5"/>
  <pageSetup paperSize="9" scale="12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74" zoomScaleNormal="91" zoomScaleSheetLayoutView="74" workbookViewId="0">
      <selection activeCell="G13" sqref="G13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6" customWidth="1"/>
    <col min="5" max="5" width="14" style="36" customWidth="1"/>
    <col min="6" max="6" width="12.140625" style="5" customWidth="1"/>
    <col min="7" max="7" width="15" style="5" customWidth="1"/>
    <col min="8" max="8" width="15.7109375" style="5" customWidth="1"/>
    <col min="9" max="16384" width="9.28515625" style="5"/>
  </cols>
  <sheetData>
    <row r="2" spans="2:8" ht="14.25" customHeight="1">
      <c r="B2" s="243" t="s">
        <v>399</v>
      </c>
      <c r="C2" s="243"/>
      <c r="D2" s="243"/>
      <c r="E2" s="243"/>
      <c r="F2" s="243"/>
      <c r="G2" s="243"/>
      <c r="H2" s="243"/>
    </row>
    <row r="3" spans="2:8" ht="14.25" customHeight="1">
      <c r="B3" s="243" t="s">
        <v>472</v>
      </c>
      <c r="C3" s="243"/>
      <c r="D3" s="243"/>
      <c r="E3" s="243"/>
      <c r="F3" s="243"/>
      <c r="G3" s="243"/>
      <c r="H3" s="243"/>
    </row>
    <row r="4" spans="2:8" s="15" customFormat="1" ht="14.25" customHeight="1">
      <c r="B4" s="243" t="s">
        <v>295</v>
      </c>
      <c r="C4" s="243"/>
      <c r="D4" s="243"/>
      <c r="E4" s="243"/>
      <c r="F4" s="243"/>
      <c r="G4" s="243"/>
      <c r="H4" s="243"/>
    </row>
    <row r="5" spans="2:8" s="15" customFormat="1" ht="15">
      <c r="C5" s="74"/>
      <c r="D5" s="36"/>
      <c r="E5" s="36"/>
      <c r="F5" s="87"/>
      <c r="G5" s="87"/>
    </row>
    <row r="6" spans="2:8" ht="15">
      <c r="B6" s="252" t="s">
        <v>189</v>
      </c>
      <c r="C6" s="295" t="s">
        <v>16</v>
      </c>
      <c r="D6" s="295" t="s">
        <v>37</v>
      </c>
      <c r="E6" s="254" t="s">
        <v>400</v>
      </c>
      <c r="F6" s="255"/>
      <c r="G6" s="256"/>
      <c r="H6" s="252" t="s">
        <v>9</v>
      </c>
    </row>
    <row r="7" spans="2:8" ht="30">
      <c r="B7" s="295"/>
      <c r="C7" s="295"/>
      <c r="D7" s="295"/>
      <c r="E7" s="17" t="s">
        <v>368</v>
      </c>
      <c r="F7" s="17" t="s">
        <v>235</v>
      </c>
      <c r="G7" s="17" t="s">
        <v>204</v>
      </c>
      <c r="H7" s="252"/>
    </row>
    <row r="8" spans="2:8" ht="15">
      <c r="B8" s="295"/>
      <c r="C8" s="295"/>
      <c r="D8" s="295"/>
      <c r="E8" s="17" t="s">
        <v>8</v>
      </c>
      <c r="F8" s="17" t="s">
        <v>10</v>
      </c>
      <c r="G8" s="17" t="s">
        <v>226</v>
      </c>
      <c r="H8" s="253"/>
    </row>
    <row r="9" spans="2:8" ht="15">
      <c r="B9" s="17"/>
      <c r="C9" s="88"/>
      <c r="D9" s="89"/>
      <c r="E9" s="89"/>
      <c r="F9" s="28"/>
      <c r="G9" s="28"/>
      <c r="H9" s="28"/>
    </row>
    <row r="10" spans="2:8" ht="15">
      <c r="B10" s="90">
        <v>1</v>
      </c>
      <c r="C10" s="91" t="s">
        <v>208</v>
      </c>
      <c r="D10" s="90" t="s">
        <v>38</v>
      </c>
      <c r="E10" s="90">
        <v>500</v>
      </c>
      <c r="F10" s="92"/>
      <c r="G10" s="92"/>
      <c r="H10" s="28"/>
    </row>
    <row r="11" spans="2:8" ht="15">
      <c r="B11" s="90"/>
      <c r="C11" s="91" t="s">
        <v>342</v>
      </c>
      <c r="D11" s="90"/>
      <c r="E11" s="90" t="s">
        <v>475</v>
      </c>
      <c r="F11" s="92"/>
      <c r="G11" s="92"/>
      <c r="H11" s="28"/>
    </row>
    <row r="12" spans="2:8" ht="13.5" customHeight="1">
      <c r="B12" s="90"/>
      <c r="C12" s="91" t="s">
        <v>217</v>
      </c>
      <c r="D12" s="90"/>
      <c r="E12" s="90" t="s">
        <v>476</v>
      </c>
      <c r="F12" s="92"/>
      <c r="G12" s="92"/>
      <c r="H12" s="28"/>
    </row>
    <row r="13" spans="2:8" ht="15">
      <c r="B13" s="90"/>
      <c r="C13" s="91"/>
      <c r="D13" s="90"/>
      <c r="E13" s="90"/>
      <c r="F13" s="92"/>
      <c r="G13" s="92"/>
      <c r="H13" s="28"/>
    </row>
    <row r="14" spans="2:8" ht="15">
      <c r="B14" s="17">
        <v>2</v>
      </c>
      <c r="C14" s="88" t="s">
        <v>169</v>
      </c>
      <c r="D14" s="90"/>
      <c r="E14" s="90"/>
      <c r="F14" s="92"/>
      <c r="G14" s="92"/>
      <c r="H14" s="28"/>
    </row>
    <row r="15" spans="2:8" ht="15">
      <c r="B15" s="90">
        <f>B14+0.1</f>
        <v>2.1</v>
      </c>
      <c r="C15" s="91" t="s">
        <v>39</v>
      </c>
      <c r="D15" s="90" t="s">
        <v>40</v>
      </c>
      <c r="E15" s="90">
        <v>80</v>
      </c>
      <c r="F15" s="92">
        <v>80</v>
      </c>
      <c r="G15" s="92">
        <v>80</v>
      </c>
      <c r="H15" s="28"/>
    </row>
    <row r="16" spans="2:8" ht="15">
      <c r="B16" s="90">
        <f>B15+0.1</f>
        <v>2.2000000000000002</v>
      </c>
      <c r="C16" s="91" t="s">
        <v>153</v>
      </c>
      <c r="D16" s="90" t="s">
        <v>40</v>
      </c>
      <c r="E16" s="90"/>
      <c r="F16" s="92">
        <v>92.53</v>
      </c>
      <c r="G16" s="92">
        <v>92.53</v>
      </c>
      <c r="H16" s="28"/>
    </row>
    <row r="17" spans="2:8" ht="15">
      <c r="B17" s="90"/>
      <c r="C17" s="91"/>
      <c r="D17" s="90"/>
      <c r="E17" s="90"/>
      <c r="F17" s="92"/>
      <c r="G17" s="92"/>
      <c r="H17" s="28"/>
    </row>
    <row r="18" spans="2:8" ht="15">
      <c r="B18" s="17">
        <v>3</v>
      </c>
      <c r="C18" s="88" t="s">
        <v>170</v>
      </c>
      <c r="D18" s="90"/>
      <c r="E18" s="90"/>
      <c r="F18" s="92"/>
      <c r="G18" s="92"/>
      <c r="H18" s="28"/>
    </row>
    <row r="19" spans="2:8" ht="15">
      <c r="B19" s="90">
        <f>B18+0.1</f>
        <v>3.1</v>
      </c>
      <c r="C19" s="91" t="s">
        <v>41</v>
      </c>
      <c r="D19" s="90" t="s">
        <v>40</v>
      </c>
      <c r="E19" s="90">
        <v>80</v>
      </c>
      <c r="F19" s="92">
        <v>80</v>
      </c>
      <c r="G19" s="92">
        <v>80</v>
      </c>
      <c r="H19" s="28"/>
    </row>
    <row r="20" spans="2:8" ht="15">
      <c r="B20" s="90">
        <f>B19+0.1</f>
        <v>3.2</v>
      </c>
      <c r="C20" s="91" t="s">
        <v>154</v>
      </c>
      <c r="D20" s="90" t="s">
        <v>40</v>
      </c>
      <c r="E20" s="90"/>
      <c r="F20" s="17">
        <v>85.35</v>
      </c>
      <c r="G20" s="17">
        <v>85.35</v>
      </c>
      <c r="H20" s="28"/>
    </row>
    <row r="21" spans="2:8" ht="15">
      <c r="B21" s="90"/>
      <c r="C21" s="91"/>
      <c r="D21" s="90"/>
      <c r="E21" s="90"/>
      <c r="F21" s="17"/>
      <c r="G21" s="17"/>
      <c r="H21" s="28"/>
    </row>
    <row r="22" spans="2:8" ht="15">
      <c r="B22" s="17">
        <v>4</v>
      </c>
      <c r="C22" s="88" t="s">
        <v>54</v>
      </c>
      <c r="D22" s="90"/>
      <c r="E22" s="90"/>
      <c r="G22" s="17"/>
      <c r="H22" s="28"/>
    </row>
    <row r="23" spans="2:8" ht="15.75">
      <c r="B23" s="90">
        <f>B22+0.1</f>
        <v>4.0999999999999996</v>
      </c>
      <c r="C23" s="91" t="s">
        <v>42</v>
      </c>
      <c r="D23" s="90" t="s">
        <v>43</v>
      </c>
      <c r="E23" s="90"/>
      <c r="F23" s="236">
        <v>3521.3104872727276</v>
      </c>
      <c r="G23" s="235">
        <f>F23</f>
        <v>3521.3104872727276</v>
      </c>
      <c r="H23" s="28"/>
    </row>
    <row r="24" spans="2:8" ht="15">
      <c r="B24" s="90">
        <f>B23+0.1</f>
        <v>4.1999999999999993</v>
      </c>
      <c r="C24" s="93" t="s">
        <v>155</v>
      </c>
      <c r="D24" s="90" t="s">
        <v>43</v>
      </c>
      <c r="E24" s="90"/>
      <c r="F24" s="17">
        <v>3748.54</v>
      </c>
      <c r="G24" s="17">
        <f>F24</f>
        <v>3748.54</v>
      </c>
      <c r="H24" s="28"/>
    </row>
    <row r="25" spans="2:8" ht="15">
      <c r="B25" s="90"/>
      <c r="C25" s="93"/>
      <c r="D25" s="90"/>
      <c r="E25" s="90"/>
      <c r="F25" s="17"/>
      <c r="G25" s="17"/>
      <c r="H25" s="28"/>
    </row>
    <row r="26" spans="2:8" ht="15">
      <c r="B26" s="17">
        <v>5</v>
      </c>
      <c r="C26" s="94" t="s">
        <v>167</v>
      </c>
      <c r="D26" s="90"/>
      <c r="E26" s="90"/>
      <c r="F26" s="17"/>
      <c r="G26" s="17"/>
      <c r="H26" s="28"/>
    </row>
    <row r="27" spans="2:8" ht="15">
      <c r="B27" s="90">
        <f>B26+0.1</f>
        <v>5.0999999999999996</v>
      </c>
      <c r="C27" s="93" t="s">
        <v>44</v>
      </c>
      <c r="D27" s="90" t="s">
        <v>40</v>
      </c>
      <c r="E27" s="90">
        <v>7.5</v>
      </c>
      <c r="F27" s="17">
        <v>7.5</v>
      </c>
      <c r="G27" s="17">
        <v>7.5</v>
      </c>
      <c r="H27" s="28"/>
    </row>
    <row r="28" spans="2:8" ht="16.5" customHeight="1">
      <c r="B28" s="90">
        <f>B27+0.1</f>
        <v>5.1999999999999993</v>
      </c>
      <c r="C28" s="93" t="s">
        <v>156</v>
      </c>
      <c r="D28" s="90" t="s">
        <v>40</v>
      </c>
      <c r="E28" s="90"/>
      <c r="F28" s="17">
        <v>6.06</v>
      </c>
      <c r="G28" s="17">
        <v>6.06</v>
      </c>
      <c r="H28" s="28"/>
    </row>
    <row r="29" spans="2:8" ht="16.5" customHeight="1">
      <c r="B29" s="90">
        <f>B28+0.1</f>
        <v>5.2999999999999989</v>
      </c>
      <c r="C29" s="93" t="s">
        <v>156</v>
      </c>
      <c r="D29" s="90" t="s">
        <v>43</v>
      </c>
      <c r="E29" s="90"/>
      <c r="F29" s="17">
        <v>227.23</v>
      </c>
      <c r="G29" s="17">
        <f>F29</f>
        <v>227.23</v>
      </c>
      <c r="H29" s="28"/>
    </row>
    <row r="30" spans="2:8" ht="15">
      <c r="B30" s="90">
        <f>B29+0.1</f>
        <v>5.3999999999999986</v>
      </c>
      <c r="C30" s="93" t="s">
        <v>45</v>
      </c>
      <c r="D30" s="90" t="s">
        <v>43</v>
      </c>
      <c r="E30" s="90"/>
      <c r="F30" s="17">
        <v>3521.31</v>
      </c>
      <c r="G30" s="17">
        <f>F30</f>
        <v>3521.31</v>
      </c>
      <c r="H30" s="28"/>
    </row>
    <row r="31" spans="2:8" ht="15">
      <c r="B31" s="90"/>
      <c r="C31" s="93"/>
      <c r="D31" s="90"/>
      <c r="E31" s="90"/>
      <c r="F31" s="17"/>
      <c r="G31" s="17"/>
      <c r="H31" s="28"/>
    </row>
    <row r="32" spans="2:8" ht="15">
      <c r="B32" s="17">
        <v>6</v>
      </c>
      <c r="C32" s="94" t="s">
        <v>203</v>
      </c>
      <c r="D32" s="90"/>
      <c r="E32" s="90"/>
      <c r="F32" s="17"/>
      <c r="G32" s="17"/>
      <c r="H32" s="28"/>
    </row>
    <row r="33" spans="2:8">
      <c r="B33" s="90">
        <f>B32+0.1</f>
        <v>6.1</v>
      </c>
      <c r="C33" s="93" t="s">
        <v>46</v>
      </c>
      <c r="D33" s="90" t="s">
        <v>47</v>
      </c>
      <c r="E33" s="90">
        <v>2450</v>
      </c>
      <c r="F33" s="90">
        <v>2450</v>
      </c>
      <c r="G33" s="90">
        <v>2450</v>
      </c>
      <c r="H33" s="28"/>
    </row>
    <row r="34" spans="2:8" ht="15">
      <c r="B34" s="90">
        <f>B33+0.1</f>
        <v>6.1999999999999993</v>
      </c>
      <c r="C34" s="91" t="s">
        <v>157</v>
      </c>
      <c r="D34" s="90" t="s">
        <v>47</v>
      </c>
      <c r="E34" s="90"/>
      <c r="F34" s="17">
        <v>2347</v>
      </c>
      <c r="G34" s="17">
        <v>2347</v>
      </c>
      <c r="H34" s="28"/>
    </row>
    <row r="35" spans="2:8" ht="15">
      <c r="B35" s="90"/>
      <c r="C35" s="91"/>
      <c r="D35" s="90"/>
      <c r="E35" s="90"/>
      <c r="F35" s="17"/>
      <c r="G35" s="17"/>
      <c r="H35" s="28"/>
    </row>
    <row r="36" spans="2:8" ht="15">
      <c r="B36" s="17">
        <v>7</v>
      </c>
      <c r="C36" s="88" t="s">
        <v>171</v>
      </c>
      <c r="D36" s="90"/>
      <c r="E36" s="90"/>
      <c r="F36" s="17"/>
      <c r="G36" s="17"/>
      <c r="H36" s="28"/>
    </row>
    <row r="37" spans="2:8" ht="15">
      <c r="B37" s="90">
        <f>B36+0.1</f>
        <v>7.1</v>
      </c>
      <c r="C37" s="91" t="s">
        <v>48</v>
      </c>
      <c r="D37" s="90" t="s">
        <v>49</v>
      </c>
      <c r="E37" s="90">
        <v>2</v>
      </c>
      <c r="F37" s="17">
        <v>2</v>
      </c>
      <c r="G37" s="17">
        <v>2</v>
      </c>
      <c r="H37" s="28"/>
    </row>
    <row r="38" spans="2:8" ht="15">
      <c r="B38" s="90">
        <f>B37+0.1</f>
        <v>7.1999999999999993</v>
      </c>
      <c r="C38" s="91" t="s">
        <v>158</v>
      </c>
      <c r="D38" s="90" t="s">
        <v>49</v>
      </c>
      <c r="E38" s="90"/>
      <c r="F38" s="17">
        <v>0.33400000000000002</v>
      </c>
      <c r="G38" s="17">
        <v>0.33400000000000002</v>
      </c>
      <c r="H38" s="28"/>
    </row>
    <row r="39" spans="2:8" ht="15">
      <c r="B39" s="90"/>
      <c r="C39" s="91"/>
      <c r="D39" s="90"/>
      <c r="E39" s="90"/>
      <c r="F39" s="17"/>
      <c r="G39" s="17"/>
      <c r="H39" s="28"/>
    </row>
    <row r="40" spans="2:8" ht="15">
      <c r="B40" s="17">
        <v>8</v>
      </c>
      <c r="C40" s="88" t="s">
        <v>51</v>
      </c>
      <c r="D40" s="90"/>
      <c r="E40" s="90"/>
      <c r="F40" s="17"/>
      <c r="G40" s="17"/>
      <c r="H40" s="28"/>
    </row>
    <row r="41" spans="2:8">
      <c r="B41" s="90">
        <f>B40+0.1</f>
        <v>8.1</v>
      </c>
      <c r="C41" s="91" t="s">
        <v>50</v>
      </c>
      <c r="D41" s="90" t="s">
        <v>40</v>
      </c>
      <c r="E41" s="90">
        <v>0.8</v>
      </c>
      <c r="F41" s="90">
        <v>0.8</v>
      </c>
      <c r="G41" s="90">
        <v>0.8</v>
      </c>
      <c r="H41" s="28"/>
    </row>
    <row r="42" spans="2:8" ht="15">
      <c r="B42" s="90">
        <f>B41+0.1</f>
        <v>8.1999999999999993</v>
      </c>
      <c r="C42" s="91" t="s">
        <v>159</v>
      </c>
      <c r="D42" s="90" t="s">
        <v>40</v>
      </c>
      <c r="E42" s="90"/>
      <c r="F42" s="17">
        <v>0.8</v>
      </c>
      <c r="G42" s="17">
        <v>0.8</v>
      </c>
      <c r="H42" s="28"/>
    </row>
    <row r="43" spans="2:8" ht="15">
      <c r="B43" s="17"/>
      <c r="C43" s="88"/>
      <c r="D43" s="89"/>
      <c r="E43" s="89"/>
      <c r="F43" s="17"/>
      <c r="G43" s="17"/>
      <c r="H43" s="28"/>
    </row>
    <row r="44" spans="2:8" ht="15">
      <c r="B44" s="40"/>
      <c r="C44" s="95"/>
      <c r="D44" s="96"/>
      <c r="E44" s="96"/>
      <c r="F44" s="40"/>
      <c r="G44" s="40"/>
    </row>
    <row r="45" spans="2:8" ht="16.5">
      <c r="D45" s="97"/>
      <c r="E45" s="97"/>
      <c r="F45" s="98"/>
      <c r="G45" s="98"/>
    </row>
    <row r="46" spans="2:8" ht="16.5">
      <c r="B46" s="15"/>
      <c r="F46" s="98"/>
      <c r="G46" s="98"/>
    </row>
    <row r="47" spans="2:8" ht="16.5">
      <c r="C47" s="50"/>
      <c r="F47" s="98"/>
      <c r="G47" s="98"/>
    </row>
    <row r="48" spans="2:8">
      <c r="F48" s="99"/>
      <c r="G48" s="99"/>
    </row>
  </sheetData>
  <mergeCells count="8">
    <mergeCell ref="B4:H4"/>
    <mergeCell ref="B3:H3"/>
    <mergeCell ref="B2:H2"/>
    <mergeCell ref="B6:B8"/>
    <mergeCell ref="C6:C8"/>
    <mergeCell ref="D6:D8"/>
    <mergeCell ref="H6:H8"/>
    <mergeCell ref="E6:G6"/>
  </mergeCells>
  <pageMargins left="1.1599999999999999" right="0.5" top="0.43" bottom="0.63" header="0.5" footer="0.5"/>
  <pageSetup paperSize="9" scale="8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70" zoomScaleNormal="91" zoomScaleSheetLayoutView="70" zoomScalePageLayoutView="48" workbookViewId="0">
      <selection activeCell="G13" sqref="G13"/>
    </sheetView>
  </sheetViews>
  <sheetFormatPr defaultColWidth="9.28515625" defaultRowHeight="14.25"/>
  <cols>
    <col min="1" max="1" width="2.28515625" style="100" customWidth="1"/>
    <col min="2" max="2" width="9.28515625" style="100"/>
    <col min="3" max="3" width="57.5703125" style="100" customWidth="1"/>
    <col min="4" max="4" width="8.42578125" style="101" customWidth="1"/>
    <col min="5" max="5" width="11.85546875" style="100" bestFit="1" customWidth="1"/>
    <col min="6" max="6" width="9.5703125" style="100" bestFit="1" customWidth="1"/>
    <col min="7" max="9" width="10.7109375" style="100" bestFit="1" customWidth="1"/>
    <col min="10" max="12" width="9.5703125" style="100" bestFit="1" customWidth="1"/>
    <col min="13" max="14" width="10.7109375" style="100" bestFit="1" customWidth="1"/>
    <col min="15" max="15" width="9.5703125" style="100" bestFit="1" customWidth="1"/>
    <col min="16" max="16" width="10.7109375" style="100" bestFit="1" customWidth="1"/>
    <col min="17" max="17" width="9.5703125" style="100" bestFit="1" customWidth="1"/>
    <col min="18" max="19" width="10.7109375" style="100" bestFit="1" customWidth="1"/>
    <col min="20" max="22" width="9.5703125" style="100" bestFit="1" customWidth="1"/>
    <col min="23" max="16384" width="9.28515625" style="100"/>
  </cols>
  <sheetData>
    <row r="2" spans="2:22" ht="14.25" customHeight="1">
      <c r="B2" s="243" t="s">
        <v>399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2:22" ht="14.25" customHeight="1">
      <c r="B3" s="243" t="s">
        <v>472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</row>
    <row r="4" spans="2:22" ht="14.25" customHeight="1">
      <c r="B4" s="243" t="s">
        <v>343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</row>
    <row r="6" spans="2:22" ht="15">
      <c r="B6" s="296" t="s">
        <v>189</v>
      </c>
      <c r="C6" s="296" t="s">
        <v>16</v>
      </c>
      <c r="D6" s="296" t="s">
        <v>37</v>
      </c>
      <c r="E6" s="296" t="s">
        <v>400</v>
      </c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 t="s">
        <v>401</v>
      </c>
      <c r="R6" s="296"/>
      <c r="S6" s="296"/>
      <c r="T6" s="296"/>
      <c r="U6" s="296"/>
      <c r="V6" s="296"/>
    </row>
    <row r="7" spans="2:22" ht="15">
      <c r="B7" s="296"/>
      <c r="C7" s="296"/>
      <c r="D7" s="296"/>
      <c r="E7" s="103" t="s">
        <v>139</v>
      </c>
      <c r="F7" s="103" t="s">
        <v>140</v>
      </c>
      <c r="G7" s="103" t="s">
        <v>141</v>
      </c>
      <c r="H7" s="103" t="s">
        <v>142</v>
      </c>
      <c r="I7" s="103" t="s">
        <v>143</v>
      </c>
      <c r="J7" s="103" t="s">
        <v>144</v>
      </c>
      <c r="K7" s="103" t="s">
        <v>145</v>
      </c>
      <c r="L7" s="103" t="s">
        <v>146</v>
      </c>
      <c r="M7" s="103" t="s">
        <v>147</v>
      </c>
      <c r="N7" s="103" t="s">
        <v>148</v>
      </c>
      <c r="O7" s="103" t="s">
        <v>149</v>
      </c>
      <c r="P7" s="103" t="s">
        <v>150</v>
      </c>
      <c r="Q7" s="103" t="s">
        <v>139</v>
      </c>
      <c r="R7" s="103" t="s">
        <v>140</v>
      </c>
      <c r="S7" s="103" t="s">
        <v>141</v>
      </c>
      <c r="T7" s="103" t="s">
        <v>142</v>
      </c>
      <c r="U7" s="103" t="s">
        <v>143</v>
      </c>
      <c r="V7" s="103" t="s">
        <v>144</v>
      </c>
    </row>
    <row r="8" spans="2:22" ht="15">
      <c r="B8" s="103" t="s">
        <v>65</v>
      </c>
      <c r="C8" s="105" t="s">
        <v>300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2:22">
      <c r="B9" s="104">
        <v>1</v>
      </c>
      <c r="C9" s="29" t="s">
        <v>301</v>
      </c>
      <c r="D9" s="207" t="s">
        <v>303</v>
      </c>
      <c r="E9" s="189">
        <v>70912.065000000526</v>
      </c>
      <c r="F9" s="189">
        <v>68178.945000000531</v>
      </c>
      <c r="G9" s="189">
        <v>105140.33500000054</v>
      </c>
      <c r="H9" s="189">
        <v>89559.995000000534</v>
      </c>
      <c r="I9" s="189">
        <v>3366.0950000005541</v>
      </c>
      <c r="J9" s="189">
        <v>4115.5950000005541</v>
      </c>
      <c r="K9" s="189">
        <v>32818.815000000555</v>
      </c>
      <c r="L9" s="189">
        <v>63011.245000000577</v>
      </c>
      <c r="M9" s="189">
        <v>125044.4550000006</v>
      </c>
      <c r="N9" s="189">
        <v>75357.995000000592</v>
      </c>
      <c r="O9" s="189">
        <v>35317.095000000554</v>
      </c>
      <c r="P9" s="189">
        <v>18950.045000000566</v>
      </c>
      <c r="Q9" s="189">
        <v>24302.645000000542</v>
      </c>
      <c r="R9" s="189">
        <v>34995.845000000554</v>
      </c>
      <c r="S9" s="189">
        <v>44321.845000000554</v>
      </c>
      <c r="T9" s="189">
        <v>45096.735000000568</v>
      </c>
      <c r="U9" s="189">
        <v>66736.005000000587</v>
      </c>
      <c r="V9" s="189">
        <v>90400.555000000575</v>
      </c>
    </row>
    <row r="10" spans="2:22">
      <c r="B10" s="104">
        <f>B9+1</f>
        <v>2</v>
      </c>
      <c r="C10" s="29" t="s">
        <v>302</v>
      </c>
      <c r="D10" s="208" t="s">
        <v>440</v>
      </c>
      <c r="E10" s="188">
        <v>35.936625763257538</v>
      </c>
      <c r="F10" s="188">
        <v>36.95462417302398</v>
      </c>
      <c r="G10" s="188">
        <v>61.701424000618815</v>
      </c>
      <c r="H10" s="188">
        <v>59.30676677718904</v>
      </c>
      <c r="I10" s="188">
        <v>1.9707271451482062</v>
      </c>
      <c r="J10" s="188">
        <v>2.2197174084387412</v>
      </c>
      <c r="K10" s="188">
        <v>15.947353172763119</v>
      </c>
      <c r="L10" s="188">
        <v>35.28748766454305</v>
      </c>
      <c r="M10" s="188">
        <v>76.542918079264538</v>
      </c>
      <c r="N10" s="188">
        <v>45.802837854764007</v>
      </c>
      <c r="O10" s="188">
        <v>20.158457852057325</v>
      </c>
      <c r="P10" s="188">
        <v>9.9624634562570389</v>
      </c>
      <c r="Q10" s="188">
        <v>13.101892088165565</v>
      </c>
      <c r="R10" s="188">
        <v>19.91692067250176</v>
      </c>
      <c r="S10" s="188">
        <v>26.187110971882579</v>
      </c>
      <c r="T10" s="188">
        <v>26.557035180437104</v>
      </c>
      <c r="U10" s="188">
        <v>38.840465465554288</v>
      </c>
      <c r="V10" s="188">
        <v>52.35187982083692</v>
      </c>
    </row>
    <row r="11" spans="2:22" ht="15">
      <c r="B11" s="103" t="s">
        <v>69</v>
      </c>
      <c r="C11" s="105" t="s">
        <v>304</v>
      </c>
      <c r="D11" s="207"/>
      <c r="E11" s="189"/>
      <c r="F11" s="189"/>
      <c r="G11" s="189"/>
      <c r="H11" s="189"/>
      <c r="I11" s="189"/>
      <c r="J11" s="189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</row>
    <row r="12" spans="2:22">
      <c r="B12" s="104">
        <f>B10+1</f>
        <v>3</v>
      </c>
      <c r="C12" s="29" t="s">
        <v>305</v>
      </c>
      <c r="D12" s="207" t="s">
        <v>303</v>
      </c>
      <c r="E12" s="189">
        <v>183230.3</v>
      </c>
      <c r="F12" s="189">
        <v>206812.04</v>
      </c>
      <c r="G12" s="189">
        <v>146239.92000000001</v>
      </c>
      <c r="H12" s="189">
        <v>103665.06</v>
      </c>
      <c r="I12" s="189">
        <v>178714.36</v>
      </c>
      <c r="J12" s="189">
        <v>212963.20000000001</v>
      </c>
      <c r="K12" s="189">
        <v>210972.40000000002</v>
      </c>
      <c r="L12" s="189">
        <v>146230.18</v>
      </c>
      <c r="M12" s="189">
        <v>82361.08</v>
      </c>
      <c r="N12" s="189">
        <v>125925.59999999998</v>
      </c>
      <c r="O12" s="189">
        <v>152398.40000000002</v>
      </c>
      <c r="P12" s="189">
        <v>171770.42</v>
      </c>
      <c r="Q12" s="189">
        <v>183880.7</v>
      </c>
      <c r="R12" s="189">
        <v>170971.78000000003</v>
      </c>
      <c r="S12" s="189">
        <v>151864.18000000002</v>
      </c>
      <c r="T12" s="189">
        <v>181441.95999999996</v>
      </c>
      <c r="U12" s="189">
        <v>183922.24</v>
      </c>
      <c r="V12" s="189">
        <v>143811.15999999997</v>
      </c>
    </row>
    <row r="13" spans="2:22">
      <c r="B13" s="104">
        <f>B12+1</f>
        <v>4</v>
      </c>
      <c r="C13" s="29" t="s">
        <v>393</v>
      </c>
      <c r="D13" s="207" t="s">
        <v>303</v>
      </c>
      <c r="E13" s="189"/>
      <c r="F13" s="189"/>
      <c r="G13" s="189"/>
      <c r="H13" s="189"/>
      <c r="I13" s="189"/>
      <c r="J13" s="189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</row>
    <row r="14" spans="2:22" ht="15">
      <c r="B14" s="104">
        <f>B13+1</f>
        <v>5</v>
      </c>
      <c r="C14" s="29" t="s">
        <v>306</v>
      </c>
      <c r="D14" s="207" t="s">
        <v>303</v>
      </c>
      <c r="E14" s="129">
        <f>E12+E13</f>
        <v>183230.3</v>
      </c>
      <c r="F14" s="129">
        <f t="shared" ref="F14:V14" si="0">F12+F13</f>
        <v>206812.04</v>
      </c>
      <c r="G14" s="129">
        <f t="shared" si="0"/>
        <v>146239.92000000001</v>
      </c>
      <c r="H14" s="129">
        <f t="shared" si="0"/>
        <v>103665.06</v>
      </c>
      <c r="I14" s="129">
        <f t="shared" si="0"/>
        <v>178714.36</v>
      </c>
      <c r="J14" s="129">
        <f t="shared" si="0"/>
        <v>212963.20000000001</v>
      </c>
      <c r="K14" s="129">
        <f t="shared" si="0"/>
        <v>210972.40000000002</v>
      </c>
      <c r="L14" s="129">
        <f t="shared" si="0"/>
        <v>146230.18</v>
      </c>
      <c r="M14" s="129">
        <f t="shared" si="0"/>
        <v>82361.08</v>
      </c>
      <c r="N14" s="129">
        <f t="shared" si="0"/>
        <v>125925.59999999998</v>
      </c>
      <c r="O14" s="129">
        <f t="shared" si="0"/>
        <v>152398.40000000002</v>
      </c>
      <c r="P14" s="129">
        <f t="shared" si="0"/>
        <v>171770.42</v>
      </c>
      <c r="Q14" s="129">
        <f t="shared" si="0"/>
        <v>183880.7</v>
      </c>
      <c r="R14" s="129">
        <f t="shared" si="0"/>
        <v>170971.78000000003</v>
      </c>
      <c r="S14" s="129">
        <f t="shared" si="0"/>
        <v>151864.18000000002</v>
      </c>
      <c r="T14" s="129">
        <f t="shared" si="0"/>
        <v>181441.95999999996</v>
      </c>
      <c r="U14" s="129">
        <f t="shared" si="0"/>
        <v>183922.24</v>
      </c>
      <c r="V14" s="129">
        <f t="shared" si="0"/>
        <v>143811.15999999997</v>
      </c>
    </row>
    <row r="15" spans="2:22">
      <c r="B15" s="104">
        <f>B14+1</f>
        <v>6</v>
      </c>
      <c r="C15" s="29" t="s">
        <v>307</v>
      </c>
      <c r="D15" s="207" t="s">
        <v>303</v>
      </c>
      <c r="E15" s="202">
        <v>1465.8423999999941</v>
      </c>
      <c r="F15" s="202">
        <v>1654.4963200000057</v>
      </c>
      <c r="G15" s="202">
        <v>1169.9193599999999</v>
      </c>
      <c r="H15" s="202">
        <v>829.32047999999486</v>
      </c>
      <c r="I15" s="202">
        <v>1429.7148800000141</v>
      </c>
      <c r="J15" s="202">
        <v>1703.7056000000157</v>
      </c>
      <c r="K15" s="202">
        <v>1687.7791999999899</v>
      </c>
      <c r="L15" s="202">
        <v>1169.8414399999892</v>
      </c>
      <c r="M15" s="202">
        <v>658.88864000000467</v>
      </c>
      <c r="N15" s="202">
        <v>1007.4048000000039</v>
      </c>
      <c r="O15" s="202">
        <v>1219.1872000000149</v>
      </c>
      <c r="P15" s="202">
        <v>1374.1633600000059</v>
      </c>
      <c r="Q15" s="202">
        <v>1471.0456000000122</v>
      </c>
      <c r="R15" s="202">
        <v>1367.7742399999988</v>
      </c>
      <c r="S15" s="202">
        <v>1214.9134400000039</v>
      </c>
      <c r="T15" s="202">
        <v>1451.5356800000009</v>
      </c>
      <c r="U15" s="202">
        <v>1471.377919999999</v>
      </c>
      <c r="V15" s="202">
        <v>1150.4892800000089</v>
      </c>
    </row>
    <row r="16" spans="2:22" ht="15">
      <c r="B16" s="104">
        <f>B15+1</f>
        <v>7</v>
      </c>
      <c r="C16" s="29" t="s">
        <v>308</v>
      </c>
      <c r="D16" s="207" t="s">
        <v>303</v>
      </c>
      <c r="E16" s="129">
        <f>E14-E15</f>
        <v>181764.45759999999</v>
      </c>
      <c r="F16" s="129">
        <f t="shared" ref="F16:V16" si="1">F14-F15</f>
        <v>205157.54368</v>
      </c>
      <c r="G16" s="129">
        <f t="shared" si="1"/>
        <v>145070.00064000001</v>
      </c>
      <c r="H16" s="129">
        <f t="shared" si="1"/>
        <v>102835.73952</v>
      </c>
      <c r="I16" s="129">
        <f t="shared" si="1"/>
        <v>177284.64511999997</v>
      </c>
      <c r="J16" s="129">
        <f t="shared" si="1"/>
        <v>211259.4944</v>
      </c>
      <c r="K16" s="129">
        <f t="shared" si="1"/>
        <v>209284.62080000003</v>
      </c>
      <c r="L16" s="129">
        <f t="shared" si="1"/>
        <v>145060.33856</v>
      </c>
      <c r="M16" s="129">
        <f t="shared" si="1"/>
        <v>81702.191359999997</v>
      </c>
      <c r="N16" s="129">
        <f t="shared" si="1"/>
        <v>124918.19519999997</v>
      </c>
      <c r="O16" s="129">
        <f t="shared" si="1"/>
        <v>151179.21280000001</v>
      </c>
      <c r="P16" s="129">
        <f t="shared" si="1"/>
        <v>170396.25664000001</v>
      </c>
      <c r="Q16" s="129">
        <f t="shared" si="1"/>
        <v>182409.6544</v>
      </c>
      <c r="R16" s="129">
        <f t="shared" si="1"/>
        <v>169604.00576000003</v>
      </c>
      <c r="S16" s="129">
        <f t="shared" si="1"/>
        <v>150649.26656000002</v>
      </c>
      <c r="T16" s="129">
        <f t="shared" si="1"/>
        <v>179990.42431999996</v>
      </c>
      <c r="U16" s="129">
        <f t="shared" si="1"/>
        <v>182450.86207999999</v>
      </c>
      <c r="V16" s="129">
        <f t="shared" si="1"/>
        <v>142660.67071999997</v>
      </c>
    </row>
    <row r="17" spans="2:22" ht="15">
      <c r="B17" s="103" t="s">
        <v>70</v>
      </c>
      <c r="C17" s="105" t="s">
        <v>309</v>
      </c>
      <c r="D17" s="207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2:22">
      <c r="B18" s="104">
        <f>B16+1</f>
        <v>8</v>
      </c>
      <c r="C18" s="29" t="s">
        <v>310</v>
      </c>
      <c r="D18" s="208" t="s">
        <v>440</v>
      </c>
      <c r="E18" s="206">
        <v>101.00984547099999</v>
      </c>
      <c r="F18" s="206">
        <v>130.59086221299998</v>
      </c>
      <c r="G18" s="206">
        <v>103.05863429299998</v>
      </c>
      <c r="H18" s="206">
        <v>54.290781454999994</v>
      </c>
      <c r="I18" s="206">
        <v>96.121504016500012</v>
      </c>
      <c r="J18" s="206">
        <v>103.40418950999999</v>
      </c>
      <c r="K18" s="206">
        <v>119.500602656</v>
      </c>
      <c r="L18" s="206">
        <v>91.599624034999991</v>
      </c>
      <c r="M18" s="206">
        <v>48.797000099999998</v>
      </c>
      <c r="N18" s="206">
        <v>73.873654219999992</v>
      </c>
      <c r="O18" s="206">
        <v>76.916133729000009</v>
      </c>
      <c r="P18" s="206">
        <v>96.073111791499997</v>
      </c>
      <c r="Q18" s="206">
        <v>102.575471952</v>
      </c>
      <c r="R18" s="206">
        <v>98.117333551000002</v>
      </c>
      <c r="S18" s="206">
        <v>87.892857813999996</v>
      </c>
      <c r="T18" s="206">
        <v>100.661543893</v>
      </c>
      <c r="U18" s="206">
        <v>107.68098953700002</v>
      </c>
      <c r="V18" s="206">
        <v>69.941611050000006</v>
      </c>
    </row>
    <row r="19" spans="2:22">
      <c r="B19" s="104">
        <f>B18+1</f>
        <v>9</v>
      </c>
      <c r="C19" s="29" t="s">
        <v>311</v>
      </c>
      <c r="D19" s="208" t="s">
        <v>440</v>
      </c>
      <c r="E19" s="206">
        <v>-7.8274678823375989</v>
      </c>
      <c r="F19" s="206">
        <v>-13.597116775936801</v>
      </c>
      <c r="G19" s="206">
        <v>-3.1450418490959993</v>
      </c>
      <c r="H19" s="206">
        <v>-3.8114941880636</v>
      </c>
      <c r="I19" s="206">
        <v>-8.5516524405060004</v>
      </c>
      <c r="J19" s="206">
        <v>-9.1441364288311995</v>
      </c>
      <c r="K19" s="206">
        <v>-7.8233168186463979</v>
      </c>
      <c r="L19" s="206">
        <v>-3.2134731556111999</v>
      </c>
      <c r="M19" s="206">
        <v>-3.0138636780631995</v>
      </c>
      <c r="N19" s="206">
        <v>-10.25870520606</v>
      </c>
      <c r="O19" s="206">
        <v>-3.1863284265959995</v>
      </c>
      <c r="P19" s="206">
        <v>-9.7594177642749997</v>
      </c>
      <c r="Q19" s="206">
        <v>-3.4634065121736</v>
      </c>
      <c r="R19" s="206">
        <v>-2.3685408177584009</v>
      </c>
      <c r="S19" s="206">
        <v>-3.4550424599207998</v>
      </c>
      <c r="T19" s="206">
        <v>-1.7129758446879984</v>
      </c>
      <c r="U19" s="206">
        <v>-10.1926915731568</v>
      </c>
      <c r="V19" s="206">
        <v>-5.5738326979416</v>
      </c>
    </row>
    <row r="20" spans="2:22">
      <c r="B20" s="104">
        <f>B19+1</f>
        <v>10</v>
      </c>
      <c r="C20" s="29" t="s">
        <v>312</v>
      </c>
      <c r="D20" s="208" t="s">
        <v>440</v>
      </c>
      <c r="E20" s="206">
        <v>0.126694423</v>
      </c>
      <c r="F20" s="206">
        <v>0.150189196</v>
      </c>
      <c r="G20" s="206">
        <v>0.144237846</v>
      </c>
      <c r="H20" s="206">
        <v>0.25802897000000002</v>
      </c>
      <c r="I20" s="206">
        <v>0.42565639100000002</v>
      </c>
      <c r="J20" s="206">
        <v>0.36912437300000001</v>
      </c>
      <c r="K20" s="206">
        <v>0.22801459500000001</v>
      </c>
      <c r="L20" s="206">
        <v>0.17881946099999999</v>
      </c>
      <c r="M20" s="206">
        <v>0.13679150200000001</v>
      </c>
      <c r="N20" s="206">
        <v>0.25707372299999998</v>
      </c>
      <c r="O20" s="206">
        <v>0.147888718</v>
      </c>
      <c r="P20" s="206">
        <v>0.54283555880000001</v>
      </c>
      <c r="Q20" s="206">
        <v>0.13786110200000001</v>
      </c>
      <c r="R20" s="206">
        <v>0.159787604</v>
      </c>
      <c r="S20" s="206">
        <v>0.18562933599999998</v>
      </c>
      <c r="T20" s="206">
        <v>0.16734934900000001</v>
      </c>
      <c r="U20" s="206">
        <v>0.25061467100000001</v>
      </c>
      <c r="V20" s="206">
        <v>0.163283495</v>
      </c>
    </row>
    <row r="21" spans="2:22" ht="15">
      <c r="B21" s="104">
        <f>B20+1</f>
        <v>11</v>
      </c>
      <c r="C21" s="29" t="s">
        <v>313</v>
      </c>
      <c r="D21" s="208" t="s">
        <v>440</v>
      </c>
      <c r="E21" s="130">
        <f>E18+E19+E20</f>
        <v>93.309072011662394</v>
      </c>
      <c r="F21" s="130">
        <f t="shared" ref="F21:V21" si="2">F18+F19+F20</f>
        <v>117.14393463306318</v>
      </c>
      <c r="G21" s="130">
        <f t="shared" si="2"/>
        <v>100.05783028990398</v>
      </c>
      <c r="H21" s="130">
        <f t="shared" si="2"/>
        <v>50.737316236936394</v>
      </c>
      <c r="I21" s="130">
        <f t="shared" si="2"/>
        <v>87.995507966994012</v>
      </c>
      <c r="J21" s="130">
        <f t="shared" si="2"/>
        <v>94.629177454168797</v>
      </c>
      <c r="K21" s="130">
        <f t="shared" si="2"/>
        <v>111.9053004323536</v>
      </c>
      <c r="L21" s="130">
        <f t="shared" si="2"/>
        <v>88.564970340388797</v>
      </c>
      <c r="M21" s="130">
        <f t="shared" si="2"/>
        <v>45.919927923936797</v>
      </c>
      <c r="N21" s="130">
        <f t="shared" si="2"/>
        <v>63.872022736939989</v>
      </c>
      <c r="O21" s="130">
        <f t="shared" si="2"/>
        <v>73.877694020404007</v>
      </c>
      <c r="P21" s="130">
        <f t="shared" si="2"/>
        <v>86.85652958602499</v>
      </c>
      <c r="Q21" s="130">
        <f t="shared" si="2"/>
        <v>99.249926541826397</v>
      </c>
      <c r="R21" s="130">
        <f t="shared" si="2"/>
        <v>95.908580337241602</v>
      </c>
      <c r="S21" s="130">
        <f t="shared" si="2"/>
        <v>84.623444690079197</v>
      </c>
      <c r="T21" s="130">
        <f t="shared" si="2"/>
        <v>99.115917397312003</v>
      </c>
      <c r="U21" s="130">
        <f t="shared" si="2"/>
        <v>97.738912634843217</v>
      </c>
      <c r="V21" s="130">
        <f t="shared" si="2"/>
        <v>64.53106184705841</v>
      </c>
    </row>
    <row r="22" spans="2:22" ht="15">
      <c r="B22" s="103" t="s">
        <v>314</v>
      </c>
      <c r="C22" s="105" t="s">
        <v>315</v>
      </c>
      <c r="D22" s="207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2:22">
      <c r="B23" s="104">
        <f>B21+1</f>
        <v>12</v>
      </c>
      <c r="C23" s="29" t="s">
        <v>316</v>
      </c>
      <c r="D23" s="207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2:22">
      <c r="B24" s="104"/>
      <c r="C24" s="29" t="s">
        <v>317</v>
      </c>
      <c r="D24" s="208" t="s">
        <v>440</v>
      </c>
      <c r="E24" s="206">
        <v>7.7110405557999995</v>
      </c>
      <c r="F24" s="206">
        <v>6.3084874800500002</v>
      </c>
      <c r="G24" s="206">
        <v>3.9304157574</v>
      </c>
      <c r="H24" s="206">
        <v>2.5966762719999998</v>
      </c>
      <c r="I24" s="206">
        <v>7.4664794022000001</v>
      </c>
      <c r="J24" s="206">
        <v>7.8063955638500007</v>
      </c>
      <c r="K24" s="206">
        <v>7.7298444765499994</v>
      </c>
      <c r="L24" s="206">
        <v>3.5134949679999998</v>
      </c>
      <c r="M24" s="206">
        <v>3.1984474035999999</v>
      </c>
      <c r="N24" s="206">
        <v>4.6397266901000007</v>
      </c>
      <c r="O24" s="206">
        <v>4.0091377922500007</v>
      </c>
      <c r="P24" s="206">
        <v>5.2602173227</v>
      </c>
      <c r="Q24" s="206">
        <v>5.292789442200001</v>
      </c>
      <c r="R24" s="206">
        <v>5.0602382162000001</v>
      </c>
      <c r="S24" s="206">
        <v>4.0060639640000009</v>
      </c>
      <c r="T24" s="206">
        <v>5.328147028200001</v>
      </c>
      <c r="U24" s="206">
        <v>7.7272682282999989</v>
      </c>
      <c r="V24" s="206">
        <v>3.6413544777500002</v>
      </c>
    </row>
    <row r="25" spans="2:22">
      <c r="B25" s="104"/>
      <c r="C25" s="29" t="s">
        <v>318</v>
      </c>
      <c r="D25" s="208" t="s">
        <v>440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2:22">
      <c r="B26" s="104"/>
      <c r="C26" s="29" t="s">
        <v>319</v>
      </c>
      <c r="D26" s="208" t="s">
        <v>440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2:22">
      <c r="B27" s="104"/>
      <c r="C27" s="29" t="s">
        <v>7</v>
      </c>
      <c r="D27" s="208" t="s">
        <v>440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2:22">
      <c r="B28" s="104">
        <f>B23+1</f>
        <v>13</v>
      </c>
      <c r="C28" s="29" t="s">
        <v>320</v>
      </c>
      <c r="D28" s="208" t="s">
        <v>440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2:22">
      <c r="B29" s="104">
        <f>B28+1</f>
        <v>14</v>
      </c>
      <c r="C29" s="29" t="s">
        <v>321</v>
      </c>
      <c r="D29" s="208" t="s">
        <v>440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2:22" ht="28.5">
      <c r="B30" s="104">
        <f>B29+1</f>
        <v>15</v>
      </c>
      <c r="C30" s="106" t="s">
        <v>390</v>
      </c>
      <c r="D30" s="208" t="s">
        <v>440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2:22">
      <c r="B31" s="104">
        <f>B30+1</f>
        <v>16</v>
      </c>
      <c r="C31" s="106" t="s">
        <v>322</v>
      </c>
      <c r="D31" s="208" t="s">
        <v>440</v>
      </c>
      <c r="E31" s="206">
        <v>7.7110405557999995</v>
      </c>
      <c r="F31" s="206">
        <v>6.3084874800500002</v>
      </c>
      <c r="G31" s="206">
        <v>3.9304157574</v>
      </c>
      <c r="H31" s="206">
        <v>2.5966762719999998</v>
      </c>
      <c r="I31" s="206">
        <v>7.4664794022000001</v>
      </c>
      <c r="J31" s="206">
        <v>7.8063955638500007</v>
      </c>
      <c r="K31" s="206">
        <v>7.7298444765499994</v>
      </c>
      <c r="L31" s="206">
        <v>3.5134949679999998</v>
      </c>
      <c r="M31" s="206">
        <v>3.1984474035999999</v>
      </c>
      <c r="N31" s="206">
        <v>4.6397266901000007</v>
      </c>
      <c r="O31" s="206">
        <v>4.0091377922500007</v>
      </c>
      <c r="P31" s="206">
        <v>5.2602173227</v>
      </c>
      <c r="Q31" s="206">
        <v>5.292789442200001</v>
      </c>
      <c r="R31" s="206">
        <v>5.0602382162000001</v>
      </c>
      <c r="S31" s="206">
        <v>4.0060639640000009</v>
      </c>
      <c r="T31" s="206">
        <v>5.328147028200001</v>
      </c>
      <c r="U31" s="206">
        <v>7.7272682282999989</v>
      </c>
      <c r="V31" s="206">
        <v>3.6413544777500002</v>
      </c>
    </row>
    <row r="32" spans="2:22" ht="28.5">
      <c r="B32" s="104">
        <f>B31+1</f>
        <v>17</v>
      </c>
      <c r="C32" s="106" t="s">
        <v>323</v>
      </c>
      <c r="D32" s="208" t="s">
        <v>440</v>
      </c>
      <c r="E32" s="130">
        <f>E21+E31</f>
        <v>101.02011256746239</v>
      </c>
      <c r="F32" s="130">
        <f t="shared" ref="F32:V32" si="3">F21+F31</f>
        <v>123.45242211311319</v>
      </c>
      <c r="G32" s="130">
        <f t="shared" si="3"/>
        <v>103.98824604730397</v>
      </c>
      <c r="H32" s="130">
        <f t="shared" si="3"/>
        <v>53.33399250893639</v>
      </c>
      <c r="I32" s="130">
        <f t="shared" si="3"/>
        <v>95.461987369194006</v>
      </c>
      <c r="J32" s="130">
        <f t="shared" si="3"/>
        <v>102.4355730180188</v>
      </c>
      <c r="K32" s="130">
        <f t="shared" si="3"/>
        <v>119.6351449089036</v>
      </c>
      <c r="L32" s="130">
        <f t="shared" si="3"/>
        <v>92.0784653083888</v>
      </c>
      <c r="M32" s="130">
        <f t="shared" si="3"/>
        <v>49.118375327536796</v>
      </c>
      <c r="N32" s="130">
        <f t="shared" si="3"/>
        <v>68.511749427039987</v>
      </c>
      <c r="O32" s="130">
        <f t="shared" si="3"/>
        <v>77.886831812654009</v>
      </c>
      <c r="P32" s="130">
        <f t="shared" si="3"/>
        <v>92.116746908724991</v>
      </c>
      <c r="Q32" s="130">
        <f t="shared" si="3"/>
        <v>104.5427159840264</v>
      </c>
      <c r="R32" s="130">
        <f t="shared" si="3"/>
        <v>100.96881855344161</v>
      </c>
      <c r="S32" s="130">
        <f t="shared" si="3"/>
        <v>88.629508654079203</v>
      </c>
      <c r="T32" s="130">
        <f t="shared" si="3"/>
        <v>104.44406442551201</v>
      </c>
      <c r="U32" s="130">
        <f t="shared" si="3"/>
        <v>105.46618086314322</v>
      </c>
      <c r="V32" s="130">
        <f t="shared" si="3"/>
        <v>68.17241632480841</v>
      </c>
    </row>
    <row r="33" spans="2:22" ht="15">
      <c r="B33" s="103" t="s">
        <v>324</v>
      </c>
      <c r="C33" s="105" t="s">
        <v>185</v>
      </c>
      <c r="D33" s="207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2:22" ht="15">
      <c r="B34" s="104">
        <f>B32+1</f>
        <v>18</v>
      </c>
      <c r="C34" s="106" t="s">
        <v>325</v>
      </c>
      <c r="D34" s="207" t="s">
        <v>326</v>
      </c>
      <c r="E34" s="130">
        <f>IFERROR((E10+E32)/(E9+E16)*10000000,0)</f>
        <v>5420.2399542884814</v>
      </c>
      <c r="F34" s="130">
        <f t="shared" ref="F34:V34" si="4">IFERROR((F10+F32)/(F9+F16)*10000000,0)</f>
        <v>5868.4827284047069</v>
      </c>
      <c r="G34" s="130">
        <f t="shared" si="4"/>
        <v>6622.0154185123256</v>
      </c>
      <c r="H34" s="130">
        <f t="shared" si="4"/>
        <v>5854.6391149028232</v>
      </c>
      <c r="I34" s="130">
        <f t="shared" si="4"/>
        <v>5393.4301320670347</v>
      </c>
      <c r="J34" s="130">
        <f t="shared" si="4"/>
        <v>4859.2105390651213</v>
      </c>
      <c r="K34" s="130">
        <f t="shared" si="4"/>
        <v>5600.1889289035198</v>
      </c>
      <c r="L34" s="130">
        <f>IFERROR((L10+L32)/(L9+L16)*10000000,0)</f>
        <v>6121.2564826856315</v>
      </c>
      <c r="M34" s="130">
        <f t="shared" si="4"/>
        <v>6078.0329751028603</v>
      </c>
      <c r="N34" s="130">
        <f t="shared" si="4"/>
        <v>5707.8471069200359</v>
      </c>
      <c r="O34" s="130">
        <f>IFERROR((O10+O32)/(O9+O16)*10000000,0)</f>
        <v>5257.2241682047415</v>
      </c>
      <c r="P34" s="130">
        <f t="shared" si="4"/>
        <v>5391.138325958048</v>
      </c>
      <c r="Q34" s="130">
        <f>IFERROR((Q10+Q32)/(Q9+Q16)*10000000,0)</f>
        <v>5691.2243932105212</v>
      </c>
      <c r="R34" s="130">
        <f t="shared" si="4"/>
        <v>5908.3982112843569</v>
      </c>
      <c r="S34" s="130">
        <f>IFERROR((S10+S32)/(S9+S16)*10000000,0)</f>
        <v>5888.9041923848299</v>
      </c>
      <c r="T34" s="130">
        <f t="shared" si="4"/>
        <v>5820.0165661031015</v>
      </c>
      <c r="U34" s="130">
        <f>IFERROR((U10+U32)/(U9+U16)*10000000,0)</f>
        <v>5791.1015945462486</v>
      </c>
      <c r="V34" s="130">
        <f t="shared" si="4"/>
        <v>5171.3576882343814</v>
      </c>
    </row>
    <row r="35" spans="2:22">
      <c r="B35" s="104">
        <f>B34+1</f>
        <v>19</v>
      </c>
      <c r="C35" s="106" t="s">
        <v>327</v>
      </c>
      <c r="D35" s="207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2:22">
      <c r="B36" s="104">
        <f>B35+1</f>
        <v>20</v>
      </c>
      <c r="C36" s="106" t="s">
        <v>328</v>
      </c>
      <c r="D36" s="207" t="s">
        <v>326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2:22" ht="15">
      <c r="B37" s="103" t="s">
        <v>329</v>
      </c>
      <c r="C37" s="105" t="s">
        <v>330</v>
      </c>
      <c r="D37" s="207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2:22" ht="28.5">
      <c r="B38" s="104">
        <f>B36+1</f>
        <v>21</v>
      </c>
      <c r="C38" s="106" t="s">
        <v>389</v>
      </c>
      <c r="D38" s="207" t="s">
        <v>331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2:22" ht="28.5">
      <c r="B39" s="104">
        <f>B38+1</f>
        <v>22</v>
      </c>
      <c r="C39" s="106" t="s">
        <v>332</v>
      </c>
      <c r="D39" s="207" t="s">
        <v>331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2:22" ht="28.5">
      <c r="B40" s="104">
        <f t="shared" ref="B40:B47" si="5">B39+1</f>
        <v>23</v>
      </c>
      <c r="C40" s="106" t="s">
        <v>388</v>
      </c>
      <c r="D40" s="207" t="s">
        <v>331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2:22">
      <c r="B41" s="104">
        <f t="shared" si="5"/>
        <v>24</v>
      </c>
      <c r="C41" s="106" t="s">
        <v>333</v>
      </c>
      <c r="D41" s="207" t="s">
        <v>331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2:22">
      <c r="B42" s="104">
        <f t="shared" si="5"/>
        <v>25</v>
      </c>
      <c r="C42" s="106" t="s">
        <v>334</v>
      </c>
      <c r="D42" s="207" t="s">
        <v>331</v>
      </c>
      <c r="E42" s="222">
        <v>4311</v>
      </c>
      <c r="F42" s="222">
        <v>4826</v>
      </c>
      <c r="G42" s="222">
        <v>5108</v>
      </c>
      <c r="H42" s="223">
        <v>3733</v>
      </c>
      <c r="I42" s="223">
        <v>3690</v>
      </c>
      <c r="J42" s="223">
        <v>3724</v>
      </c>
      <c r="K42" s="222">
        <v>4244</v>
      </c>
      <c r="L42" s="222">
        <v>4450</v>
      </c>
      <c r="M42" s="222">
        <v>4265</v>
      </c>
      <c r="N42" s="222">
        <v>4462</v>
      </c>
      <c r="O42" s="222">
        <v>3863</v>
      </c>
      <c r="P42" s="222">
        <v>4034</v>
      </c>
      <c r="Q42" s="224">
        <v>4147</v>
      </c>
      <c r="R42" s="224">
        <v>4191</v>
      </c>
      <c r="S42" s="224">
        <v>4214</v>
      </c>
      <c r="T42" s="224">
        <v>4043</v>
      </c>
      <c r="U42" s="224">
        <v>4210</v>
      </c>
      <c r="V42" s="224">
        <v>3435</v>
      </c>
    </row>
    <row r="43" spans="2:22" ht="28.5">
      <c r="B43" s="104">
        <f t="shared" si="5"/>
        <v>26</v>
      </c>
      <c r="C43" s="106" t="s">
        <v>387</v>
      </c>
      <c r="D43" s="207" t="s">
        <v>331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2:22">
      <c r="B44" s="104">
        <f t="shared" si="5"/>
        <v>27</v>
      </c>
      <c r="C44" s="106" t="s">
        <v>335</v>
      </c>
      <c r="D44" s="207" t="s">
        <v>331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2:22" ht="28.5">
      <c r="B45" s="104">
        <f t="shared" si="5"/>
        <v>28</v>
      </c>
      <c r="C45" s="106" t="s">
        <v>336</v>
      </c>
      <c r="D45" s="207" t="s">
        <v>331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2:22" ht="28.5">
      <c r="B46" s="104">
        <f t="shared" si="5"/>
        <v>29</v>
      </c>
      <c r="C46" s="106" t="s">
        <v>336</v>
      </c>
      <c r="D46" s="207" t="s">
        <v>331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2:22">
      <c r="B47" s="104">
        <f t="shared" si="5"/>
        <v>30</v>
      </c>
      <c r="C47" s="106" t="s">
        <v>337</v>
      </c>
      <c r="D47" s="207" t="s">
        <v>331</v>
      </c>
      <c r="E47" s="223">
        <v>3756</v>
      </c>
      <c r="F47" s="223">
        <v>4365</v>
      </c>
      <c r="G47" s="223">
        <v>4270</v>
      </c>
      <c r="H47" s="223">
        <v>3798</v>
      </c>
      <c r="I47" s="223">
        <v>3577</v>
      </c>
      <c r="J47" s="223">
        <v>3337</v>
      </c>
      <c r="K47" s="223">
        <v>3987</v>
      </c>
      <c r="L47" s="223">
        <v>4254</v>
      </c>
      <c r="M47" s="223">
        <v>3996</v>
      </c>
      <c r="N47" s="223">
        <v>3913</v>
      </c>
      <c r="O47" s="223">
        <v>3829</v>
      </c>
      <c r="P47" s="223">
        <v>3627</v>
      </c>
      <c r="Q47" s="226">
        <v>3594</v>
      </c>
      <c r="R47" s="226">
        <v>3752</v>
      </c>
      <c r="S47" s="226">
        <v>3575</v>
      </c>
      <c r="T47" s="226">
        <v>3588</v>
      </c>
      <c r="U47" s="226">
        <v>3342</v>
      </c>
      <c r="V47" s="226">
        <v>3048</v>
      </c>
    </row>
    <row r="49" spans="2:3" ht="15">
      <c r="B49" s="102" t="s">
        <v>237</v>
      </c>
    </row>
    <row r="50" spans="2:3">
      <c r="B50" s="101">
        <v>1</v>
      </c>
      <c r="C50" s="100" t="s">
        <v>338</v>
      </c>
    </row>
    <row r="51" spans="2:3">
      <c r="B51" s="101">
        <f>B50+1</f>
        <v>2</v>
      </c>
      <c r="C51" s="100" t="s">
        <v>339</v>
      </c>
    </row>
    <row r="52" spans="2:3">
      <c r="B52" s="101">
        <f>B51+1</f>
        <v>3</v>
      </c>
      <c r="C52" s="100" t="s">
        <v>340</v>
      </c>
    </row>
    <row r="53" spans="2:3">
      <c r="B53" s="101">
        <f>B52+1</f>
        <v>4</v>
      </c>
      <c r="C53" s="100" t="s">
        <v>341</v>
      </c>
    </row>
  </sheetData>
  <mergeCells count="8">
    <mergeCell ref="B4:V4"/>
    <mergeCell ref="B3:V3"/>
    <mergeCell ref="B2:V2"/>
    <mergeCell ref="E6:P6"/>
    <mergeCell ref="Q6:V6"/>
    <mergeCell ref="B6:B7"/>
    <mergeCell ref="C6:C7"/>
    <mergeCell ref="D6:D7"/>
  </mergeCells>
  <phoneticPr fontId="13" type="noConversion"/>
  <pageMargins left="0.2" right="0.2" top="0.25" bottom="0.25" header="0.05" footer="0.05"/>
  <pageSetup paperSize="9" scale="56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view="pageBreakPreview" zoomScale="69" zoomScaleSheetLayoutView="69" workbookViewId="0">
      <selection activeCell="G13" sqref="G13"/>
    </sheetView>
  </sheetViews>
  <sheetFormatPr defaultRowHeight="12.75"/>
  <cols>
    <col min="2" max="2" width="8.85546875" customWidth="1"/>
    <col min="3" max="3" width="65.28515625" customWidth="1"/>
  </cols>
  <sheetData>
    <row r="2" spans="2:22" ht="16.5">
      <c r="B2" s="297" t="s">
        <v>437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</row>
    <row r="3" spans="2:22" ht="15">
      <c r="B3" s="243" t="s">
        <v>473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</row>
    <row r="4" spans="2:22" ht="16.5">
      <c r="B4" s="298" t="s">
        <v>474</v>
      </c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</row>
    <row r="6" spans="2:22" ht="15">
      <c r="B6" s="296" t="s">
        <v>189</v>
      </c>
      <c r="C6" s="296" t="s">
        <v>16</v>
      </c>
      <c r="D6" s="296" t="s">
        <v>37</v>
      </c>
      <c r="E6" s="296" t="s">
        <v>400</v>
      </c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 t="s">
        <v>401</v>
      </c>
      <c r="R6" s="296"/>
      <c r="S6" s="296"/>
      <c r="T6" s="296"/>
      <c r="U6" s="296"/>
      <c r="V6" s="296"/>
    </row>
    <row r="7" spans="2:22" ht="15">
      <c r="B7" s="296"/>
      <c r="C7" s="296"/>
      <c r="D7" s="296"/>
      <c r="E7" s="103" t="s">
        <v>139</v>
      </c>
      <c r="F7" s="103" t="s">
        <v>140</v>
      </c>
      <c r="G7" s="103" t="s">
        <v>141</v>
      </c>
      <c r="H7" s="103" t="s">
        <v>142</v>
      </c>
      <c r="I7" s="103" t="s">
        <v>143</v>
      </c>
      <c r="J7" s="103" t="s">
        <v>144</v>
      </c>
      <c r="K7" s="103" t="s">
        <v>145</v>
      </c>
      <c r="L7" s="103" t="s">
        <v>146</v>
      </c>
      <c r="M7" s="103" t="s">
        <v>147</v>
      </c>
      <c r="N7" s="103" t="s">
        <v>148</v>
      </c>
      <c r="O7" s="103" t="s">
        <v>149</v>
      </c>
      <c r="P7" s="103" t="s">
        <v>150</v>
      </c>
      <c r="Q7" s="103" t="s">
        <v>139</v>
      </c>
      <c r="R7" s="103" t="s">
        <v>140</v>
      </c>
      <c r="S7" s="103" t="s">
        <v>141</v>
      </c>
      <c r="T7" s="103" t="s">
        <v>142</v>
      </c>
      <c r="U7" s="103" t="s">
        <v>143</v>
      </c>
      <c r="V7" s="103" t="s">
        <v>144</v>
      </c>
    </row>
    <row r="8" spans="2:22" ht="15">
      <c r="B8" s="103" t="s">
        <v>65</v>
      </c>
      <c r="C8" s="105" t="s">
        <v>300</v>
      </c>
      <c r="D8" s="104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2:22" ht="14.25">
      <c r="B9" s="104">
        <v>1</v>
      </c>
      <c r="C9" s="29" t="s">
        <v>438</v>
      </c>
      <c r="D9" s="179" t="s">
        <v>439</v>
      </c>
      <c r="E9" s="202">
        <v>1509.74</v>
      </c>
      <c r="F9" s="202">
        <v>1623.1599999999999</v>
      </c>
      <c r="G9" s="202">
        <v>1636.4649999999999</v>
      </c>
      <c r="H9" s="202">
        <v>1619.895</v>
      </c>
      <c r="I9" s="202">
        <v>1461.623</v>
      </c>
      <c r="J9" s="202">
        <v>1993.9310000000003</v>
      </c>
      <c r="K9" s="176">
        <v>2033.9690000000003</v>
      </c>
      <c r="L9" s="176">
        <v>1895.3320000000003</v>
      </c>
      <c r="M9" s="176">
        <v>2025.2400000000005</v>
      </c>
      <c r="N9" s="176">
        <v>2043.6640000000009</v>
      </c>
      <c r="O9" s="176">
        <v>2098.1640000000007</v>
      </c>
      <c r="P9" s="176">
        <v>2088.7370000000005</v>
      </c>
      <c r="Q9" s="176">
        <v>2045.9220000000005</v>
      </c>
      <c r="R9" s="176">
        <v>1881.8240000000005</v>
      </c>
      <c r="S9" s="176">
        <v>2022.3860000000004</v>
      </c>
      <c r="T9" s="176">
        <v>1867.15</v>
      </c>
      <c r="U9" s="176">
        <v>1942.5280000000002</v>
      </c>
      <c r="V9" s="176">
        <v>1849.2890000000002</v>
      </c>
    </row>
    <row r="10" spans="2:22" ht="14.25">
      <c r="B10" s="104">
        <v>2</v>
      </c>
      <c r="C10" s="29" t="s">
        <v>302</v>
      </c>
      <c r="D10" s="179" t="s">
        <v>440</v>
      </c>
      <c r="E10" s="206">
        <v>9.7245682479794091</v>
      </c>
      <c r="F10" s="206">
        <v>10.411214579314539</v>
      </c>
      <c r="G10" s="206">
        <v>10.35212134212626</v>
      </c>
      <c r="H10" s="206">
        <v>10.245166741653044</v>
      </c>
      <c r="I10" s="206">
        <v>9.3416437450243137</v>
      </c>
      <c r="J10" s="206">
        <v>12.915014934794941</v>
      </c>
      <c r="K10" s="177">
        <v>13.459052392457208</v>
      </c>
      <c r="L10" s="177">
        <v>12.707538638559983</v>
      </c>
      <c r="M10" s="177">
        <v>13.633068711020067</v>
      </c>
      <c r="N10" s="177">
        <v>13.638373962044152</v>
      </c>
      <c r="O10" s="177">
        <v>14.072385948000004</v>
      </c>
      <c r="P10" s="177">
        <v>14.013199292268578</v>
      </c>
      <c r="Q10" s="177">
        <v>13.713292101087308</v>
      </c>
      <c r="R10" s="177">
        <v>12.668255917120563</v>
      </c>
      <c r="S10" s="177">
        <v>13.639971907842993</v>
      </c>
      <c r="T10" s="177">
        <v>12.663271679271945</v>
      </c>
      <c r="U10" s="177">
        <v>13.112535054009001</v>
      </c>
      <c r="V10" s="177">
        <v>12.450520708594439</v>
      </c>
    </row>
    <row r="11" spans="2:22" ht="15">
      <c r="B11" s="103" t="s">
        <v>69</v>
      </c>
      <c r="C11" s="105" t="s">
        <v>304</v>
      </c>
      <c r="D11" s="179"/>
      <c r="E11" s="209"/>
      <c r="F11" s="209"/>
      <c r="G11" s="209"/>
      <c r="H11" s="209"/>
      <c r="I11" s="209"/>
      <c r="J11" s="209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</row>
    <row r="12" spans="2:22" ht="14.25">
      <c r="B12" s="104">
        <v>3</v>
      </c>
      <c r="C12" s="29" t="s">
        <v>441</v>
      </c>
      <c r="D12" s="179" t="s">
        <v>439</v>
      </c>
      <c r="E12" s="202">
        <v>224.09</v>
      </c>
      <c r="F12" s="202">
        <v>250.309</v>
      </c>
      <c r="G12" s="202">
        <v>0</v>
      </c>
      <c r="H12" s="202">
        <v>606.20399999999995</v>
      </c>
      <c r="I12" s="202">
        <v>722.71699999999987</v>
      </c>
      <c r="J12" s="202">
        <v>368.44499999999999</v>
      </c>
      <c r="K12" s="176">
        <v>395.45400000000001</v>
      </c>
      <c r="L12" s="176">
        <v>254.20600000000002</v>
      </c>
      <c r="M12" s="176">
        <v>238.61600000000001</v>
      </c>
      <c r="N12" s="176">
        <v>55</v>
      </c>
      <c r="O12" s="176">
        <v>0</v>
      </c>
      <c r="P12" s="176">
        <v>24.991</v>
      </c>
      <c r="Q12" s="176">
        <v>0</v>
      </c>
      <c r="R12" s="176">
        <v>202.72</v>
      </c>
      <c r="S12" s="176">
        <v>48.286999999999999</v>
      </c>
      <c r="T12" s="176">
        <v>192.81300000000002</v>
      </c>
      <c r="U12" s="176">
        <v>377.32100000000003</v>
      </c>
      <c r="V12" s="176">
        <v>130.69900000000001</v>
      </c>
    </row>
    <row r="13" spans="2:22" ht="14.25">
      <c r="B13" s="104">
        <v>4</v>
      </c>
      <c r="C13" s="29" t="s">
        <v>442</v>
      </c>
      <c r="D13" s="179" t="s">
        <v>439</v>
      </c>
      <c r="E13" s="209"/>
      <c r="F13" s="209"/>
      <c r="G13" s="209"/>
      <c r="H13" s="209"/>
      <c r="I13" s="209"/>
      <c r="J13" s="209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</row>
    <row r="14" spans="2:22" ht="14.25">
      <c r="B14" s="104">
        <v>5</v>
      </c>
      <c r="C14" s="29" t="s">
        <v>443</v>
      </c>
      <c r="D14" s="179" t="s">
        <v>439</v>
      </c>
      <c r="E14" s="209"/>
      <c r="F14" s="209"/>
      <c r="G14" s="209"/>
      <c r="H14" s="209"/>
      <c r="I14" s="209"/>
      <c r="J14" s="209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</row>
    <row r="15" spans="2:22" ht="14.25">
      <c r="B15" s="104">
        <v>6</v>
      </c>
      <c r="C15" s="29" t="s">
        <v>307</v>
      </c>
      <c r="D15" s="179" t="s">
        <v>439</v>
      </c>
      <c r="E15" s="209"/>
      <c r="F15" s="209"/>
      <c r="G15" s="209"/>
      <c r="H15" s="209"/>
      <c r="I15" s="209"/>
      <c r="J15" s="209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</row>
    <row r="16" spans="2:22" ht="14.25">
      <c r="B16" s="104">
        <v>7</v>
      </c>
      <c r="C16" s="29" t="s">
        <v>444</v>
      </c>
      <c r="D16" s="179" t="s">
        <v>439</v>
      </c>
      <c r="E16" s="209"/>
      <c r="F16" s="209"/>
      <c r="G16" s="209"/>
      <c r="H16" s="209"/>
      <c r="I16" s="209"/>
      <c r="J16" s="209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</row>
    <row r="17" spans="2:22" ht="15">
      <c r="B17" s="103" t="s">
        <v>70</v>
      </c>
      <c r="C17" s="105" t="s">
        <v>309</v>
      </c>
      <c r="D17" s="179"/>
      <c r="E17" s="209"/>
      <c r="F17" s="209"/>
      <c r="G17" s="209"/>
      <c r="H17" s="209"/>
      <c r="I17" s="209"/>
      <c r="J17" s="209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</row>
    <row r="18" spans="2:22" ht="14.25">
      <c r="B18" s="104">
        <v>8</v>
      </c>
      <c r="C18" s="29" t="s">
        <v>445</v>
      </c>
      <c r="D18" s="179" t="s">
        <v>440</v>
      </c>
      <c r="E18" s="206">
        <v>1.4407839</v>
      </c>
      <c r="F18" s="206">
        <v>1.4915972</v>
      </c>
      <c r="G18" s="206">
        <v>0</v>
      </c>
      <c r="H18" s="206">
        <v>3.8772250000000001</v>
      </c>
      <c r="I18" s="206">
        <v>4.7595647999999997</v>
      </c>
      <c r="J18" s="206">
        <v>2.7224032999999999</v>
      </c>
      <c r="K18" s="177">
        <v>2.9071858000000002</v>
      </c>
      <c r="L18" s="177">
        <v>1.8347195999999999</v>
      </c>
      <c r="M18" s="177">
        <v>1.5266133</v>
      </c>
      <c r="N18" s="177">
        <v>0.43715039999999999</v>
      </c>
      <c r="O18" s="177">
        <v>0</v>
      </c>
      <c r="P18" s="177">
        <v>0.1497841</v>
      </c>
      <c r="Q18" s="177">
        <v>0</v>
      </c>
      <c r="R18" s="177">
        <v>1.3651257000000001</v>
      </c>
      <c r="S18" s="177">
        <v>0.33542759999999999</v>
      </c>
      <c r="T18" s="177">
        <v>1.2871465</v>
      </c>
      <c r="U18" s="177">
        <v>2.5834054000000002</v>
      </c>
      <c r="V18" s="177">
        <v>0.82483450000000003</v>
      </c>
    </row>
    <row r="19" spans="2:22" ht="14.25">
      <c r="B19" s="104">
        <v>9</v>
      </c>
      <c r="C19" s="29" t="s">
        <v>446</v>
      </c>
      <c r="D19" s="179" t="s">
        <v>440</v>
      </c>
      <c r="E19" s="209"/>
      <c r="F19" s="209"/>
      <c r="G19" s="209"/>
      <c r="H19" s="209"/>
      <c r="I19" s="209"/>
      <c r="J19" s="209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</row>
    <row r="20" spans="2:22" ht="14.25">
      <c r="B20" s="104">
        <v>10</v>
      </c>
      <c r="C20" s="29" t="s">
        <v>312</v>
      </c>
      <c r="D20" s="179" t="s">
        <v>440</v>
      </c>
      <c r="E20" s="209"/>
      <c r="F20" s="209"/>
      <c r="G20" s="209"/>
      <c r="H20" s="209"/>
      <c r="I20" s="209"/>
      <c r="J20" s="209"/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</row>
    <row r="21" spans="2:22" ht="14.25">
      <c r="B21" s="104">
        <v>11</v>
      </c>
      <c r="C21" s="29" t="s">
        <v>313</v>
      </c>
      <c r="D21" s="179" t="s">
        <v>440</v>
      </c>
      <c r="E21" s="206">
        <v>1.4407839</v>
      </c>
      <c r="F21" s="206">
        <v>1.4915972</v>
      </c>
      <c r="G21" s="206">
        <v>0</v>
      </c>
      <c r="H21" s="206">
        <v>3.8772250000000001</v>
      </c>
      <c r="I21" s="206">
        <v>4.7595647999999997</v>
      </c>
      <c r="J21" s="206">
        <v>2.7224032999999999</v>
      </c>
      <c r="K21" s="177">
        <v>2.9071858000000002</v>
      </c>
      <c r="L21" s="177">
        <v>1.8347195999999999</v>
      </c>
      <c r="M21" s="177">
        <v>1.5266133</v>
      </c>
      <c r="N21" s="177">
        <v>0.43715039999999999</v>
      </c>
      <c r="O21" s="177">
        <v>0</v>
      </c>
      <c r="P21" s="177">
        <v>0.1497841</v>
      </c>
      <c r="Q21" s="177">
        <v>0</v>
      </c>
      <c r="R21" s="177">
        <v>1.3651257000000001</v>
      </c>
      <c r="S21" s="177">
        <v>0.33542759999999999</v>
      </c>
      <c r="T21" s="177">
        <v>1.2871465</v>
      </c>
      <c r="U21" s="177">
        <v>2.5834054000000002</v>
      </c>
      <c r="V21" s="177">
        <v>0.82483450000000003</v>
      </c>
    </row>
    <row r="22" spans="2:22" ht="15">
      <c r="B22" s="103" t="s">
        <v>314</v>
      </c>
      <c r="C22" s="105" t="s">
        <v>315</v>
      </c>
      <c r="D22" s="179"/>
      <c r="E22" s="209"/>
      <c r="F22" s="209"/>
      <c r="G22" s="209"/>
      <c r="H22" s="209"/>
      <c r="I22" s="209"/>
      <c r="J22" s="209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</row>
    <row r="23" spans="2:22" ht="14.25">
      <c r="B23" s="104">
        <v>12</v>
      </c>
      <c r="C23" s="29" t="s">
        <v>316</v>
      </c>
      <c r="D23" s="179"/>
      <c r="E23" s="209"/>
      <c r="F23" s="209"/>
      <c r="G23" s="209"/>
      <c r="H23" s="209"/>
      <c r="I23" s="209"/>
      <c r="J23" s="209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2:22" ht="14.25">
      <c r="B24" s="104"/>
      <c r="C24" s="29" t="s">
        <v>317</v>
      </c>
      <c r="D24" s="179" t="s">
        <v>440</v>
      </c>
      <c r="E24" s="209"/>
      <c r="F24" s="209"/>
      <c r="G24" s="209"/>
      <c r="H24" s="209"/>
      <c r="I24" s="209"/>
      <c r="J24" s="209"/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</row>
    <row r="25" spans="2:22" ht="14.25">
      <c r="B25" s="104"/>
      <c r="C25" s="29" t="s">
        <v>318</v>
      </c>
      <c r="D25" s="179" t="s">
        <v>440</v>
      </c>
      <c r="E25" s="209"/>
      <c r="F25" s="209"/>
      <c r="G25" s="209"/>
      <c r="H25" s="209"/>
      <c r="I25" s="209"/>
      <c r="J25" s="209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</row>
    <row r="26" spans="2:22" ht="14.25">
      <c r="B26" s="104"/>
      <c r="C26" s="29" t="s">
        <v>319</v>
      </c>
      <c r="D26" s="179" t="s">
        <v>440</v>
      </c>
      <c r="E26" s="209"/>
      <c r="F26" s="209"/>
      <c r="G26" s="209"/>
      <c r="H26" s="209"/>
      <c r="I26" s="209"/>
      <c r="J26" s="209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</row>
    <row r="27" spans="2:22" ht="14.25">
      <c r="B27" s="104"/>
      <c r="C27" s="29" t="s">
        <v>7</v>
      </c>
      <c r="D27" s="179" t="s">
        <v>440</v>
      </c>
      <c r="E27" s="209"/>
      <c r="F27" s="209"/>
      <c r="G27" s="209"/>
      <c r="H27" s="209"/>
      <c r="I27" s="209"/>
      <c r="J27" s="209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</row>
    <row r="28" spans="2:22" ht="14.25">
      <c r="B28" s="104">
        <v>13</v>
      </c>
      <c r="C28" s="29" t="s">
        <v>447</v>
      </c>
      <c r="D28" s="179" t="s">
        <v>440</v>
      </c>
      <c r="E28" s="209"/>
      <c r="F28" s="209"/>
      <c r="G28" s="209"/>
      <c r="H28" s="209"/>
      <c r="I28" s="209"/>
      <c r="J28" s="209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</row>
    <row r="29" spans="2:22" ht="14.25">
      <c r="B29" s="104">
        <v>14</v>
      </c>
      <c r="C29" s="29" t="s">
        <v>321</v>
      </c>
      <c r="D29" s="179" t="s">
        <v>440</v>
      </c>
      <c r="E29" s="209"/>
      <c r="F29" s="209"/>
      <c r="G29" s="209"/>
      <c r="H29" s="209"/>
      <c r="I29" s="209"/>
      <c r="J29" s="209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</row>
    <row r="30" spans="2:22" ht="21.75" customHeight="1">
      <c r="B30" s="104">
        <v>15</v>
      </c>
      <c r="C30" s="29" t="s">
        <v>448</v>
      </c>
      <c r="D30" s="179" t="s">
        <v>440</v>
      </c>
      <c r="E30" s="209"/>
      <c r="F30" s="209"/>
      <c r="G30" s="209"/>
      <c r="H30" s="209"/>
      <c r="I30" s="209"/>
      <c r="J30" s="209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</row>
    <row r="31" spans="2:22" ht="14.25">
      <c r="B31" s="104">
        <v>16</v>
      </c>
      <c r="C31" s="29" t="s">
        <v>322</v>
      </c>
      <c r="D31" s="179" t="s">
        <v>440</v>
      </c>
      <c r="E31" s="206">
        <v>0</v>
      </c>
      <c r="F31" s="206">
        <v>0</v>
      </c>
      <c r="G31" s="206">
        <v>0</v>
      </c>
      <c r="H31" s="206">
        <v>0</v>
      </c>
      <c r="I31" s="206">
        <v>0</v>
      </c>
      <c r="J31" s="206">
        <v>0</v>
      </c>
      <c r="K31" s="177">
        <v>0</v>
      </c>
      <c r="L31" s="177">
        <v>0</v>
      </c>
      <c r="M31" s="177">
        <v>0</v>
      </c>
      <c r="N31" s="177">
        <v>0</v>
      </c>
      <c r="O31" s="177">
        <v>0</v>
      </c>
      <c r="P31" s="177">
        <v>0</v>
      </c>
      <c r="Q31" s="177">
        <v>0</v>
      </c>
      <c r="R31" s="177">
        <v>0</v>
      </c>
      <c r="S31" s="177">
        <v>0</v>
      </c>
      <c r="T31" s="177">
        <v>0</v>
      </c>
      <c r="U31" s="177">
        <v>0</v>
      </c>
      <c r="V31" s="177">
        <v>0</v>
      </c>
    </row>
    <row r="32" spans="2:22" ht="14.25">
      <c r="B32" s="104">
        <v>17</v>
      </c>
      <c r="C32" s="29" t="s">
        <v>449</v>
      </c>
      <c r="D32" s="179" t="s">
        <v>440</v>
      </c>
      <c r="E32" s="206">
        <v>1.4407839</v>
      </c>
      <c r="F32" s="206">
        <v>1.4915972</v>
      </c>
      <c r="G32" s="206">
        <v>0</v>
      </c>
      <c r="H32" s="206">
        <v>3.8772250000000001</v>
      </c>
      <c r="I32" s="206">
        <v>4.7595647999999997</v>
      </c>
      <c r="J32" s="206">
        <v>2.7224032999999999</v>
      </c>
      <c r="K32" s="177">
        <v>2.9071858000000002</v>
      </c>
      <c r="L32" s="177">
        <v>1.8347195999999999</v>
      </c>
      <c r="M32" s="177">
        <v>1.5266133</v>
      </c>
      <c r="N32" s="177">
        <v>0.43715039999999999</v>
      </c>
      <c r="O32" s="177">
        <v>0</v>
      </c>
      <c r="P32" s="177">
        <v>0.1497841</v>
      </c>
      <c r="Q32" s="177">
        <v>0</v>
      </c>
      <c r="R32" s="177">
        <v>1.3651257000000001</v>
      </c>
      <c r="S32" s="177">
        <v>0.33542759999999999</v>
      </c>
      <c r="T32" s="177">
        <v>1.2871465</v>
      </c>
      <c r="U32" s="177">
        <v>2.5834054000000002</v>
      </c>
      <c r="V32" s="177">
        <v>0.82483450000000003</v>
      </c>
    </row>
    <row r="33" spans="2:22" ht="15">
      <c r="B33" s="103" t="s">
        <v>324</v>
      </c>
      <c r="C33" s="105" t="s">
        <v>185</v>
      </c>
      <c r="D33" s="179"/>
      <c r="E33" s="202"/>
      <c r="F33" s="202"/>
      <c r="G33" s="202"/>
      <c r="H33" s="202"/>
      <c r="I33" s="202"/>
      <c r="J33" s="202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</row>
    <row r="34" spans="2:22" ht="14.25">
      <c r="B34" s="104">
        <v>18</v>
      </c>
      <c r="C34" s="29" t="s">
        <v>450</v>
      </c>
      <c r="D34" s="179" t="s">
        <v>451</v>
      </c>
      <c r="E34" s="202">
        <v>64397.040932383279</v>
      </c>
      <c r="F34" s="202">
        <v>63533.540076267811</v>
      </c>
      <c r="G34" s="202">
        <v>63259.045211026576</v>
      </c>
      <c r="H34" s="202">
        <v>63440.088431166107</v>
      </c>
      <c r="I34" s="202">
        <v>64555.923276707435</v>
      </c>
      <c r="J34" s="202">
        <v>66193.604383023441</v>
      </c>
      <c r="K34" s="176">
        <v>67366.770597204377</v>
      </c>
      <c r="L34" s="176">
        <v>67652.947929089787</v>
      </c>
      <c r="M34" s="176">
        <v>66963.985390502145</v>
      </c>
      <c r="N34" s="176">
        <v>67068.975129149534</v>
      </c>
      <c r="O34" s="176">
        <v>67070</v>
      </c>
      <c r="P34" s="176">
        <v>67004.758380778294</v>
      </c>
      <c r="Q34" s="176">
        <v>67027.443378033495</v>
      </c>
      <c r="R34" s="176">
        <v>67321.110118666533</v>
      </c>
      <c r="S34" s="176">
        <v>67492.064212181212</v>
      </c>
      <c r="T34" s="176">
        <v>67721.692958912099</v>
      </c>
      <c r="U34" s="176">
        <v>67659.319438502251</v>
      </c>
      <c r="V34" s="176">
        <v>67047.654877678229</v>
      </c>
    </row>
    <row r="35" spans="2:22" ht="14.25">
      <c r="B35" s="104">
        <v>19</v>
      </c>
      <c r="C35" s="29" t="s">
        <v>327</v>
      </c>
      <c r="D35" s="179"/>
      <c r="E35" s="176"/>
      <c r="F35" s="176"/>
      <c r="G35" s="176"/>
      <c r="H35" s="176"/>
      <c r="I35" s="176"/>
      <c r="J35" s="176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</row>
    <row r="36" spans="2:22" ht="14.25">
      <c r="B36" s="104">
        <v>20</v>
      </c>
      <c r="C36" s="29" t="s">
        <v>452</v>
      </c>
      <c r="D36" s="179" t="s">
        <v>451</v>
      </c>
      <c r="E36" s="176"/>
      <c r="F36" s="176"/>
      <c r="G36" s="176"/>
      <c r="H36" s="176"/>
      <c r="I36" s="176"/>
      <c r="J36" s="176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</row>
    <row r="37" spans="2:22" ht="15">
      <c r="B37" s="103" t="s">
        <v>329</v>
      </c>
      <c r="C37" s="105" t="s">
        <v>330</v>
      </c>
      <c r="D37" s="179"/>
      <c r="E37" s="176"/>
      <c r="F37" s="176"/>
      <c r="G37" s="176"/>
      <c r="H37" s="176"/>
      <c r="I37" s="176"/>
      <c r="J37" s="176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</row>
    <row r="38" spans="2:22" ht="14.25">
      <c r="B38" s="104">
        <v>21</v>
      </c>
      <c r="C38" s="29" t="s">
        <v>453</v>
      </c>
      <c r="D38" s="179" t="s">
        <v>454</v>
      </c>
      <c r="E38" s="176"/>
      <c r="F38" s="176"/>
      <c r="G38" s="176"/>
      <c r="H38" s="176"/>
      <c r="I38" s="176"/>
      <c r="J38" s="176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</row>
    <row r="39" spans="2:22" ht="14.25">
      <c r="B39" s="104">
        <v>22</v>
      </c>
      <c r="C39" s="29" t="s">
        <v>455</v>
      </c>
      <c r="D39" s="179" t="s">
        <v>454</v>
      </c>
      <c r="E39" s="176"/>
      <c r="F39" s="176"/>
      <c r="G39" s="176"/>
      <c r="H39" s="176"/>
      <c r="I39" s="176"/>
      <c r="J39" s="176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</row>
    <row r="40" spans="2:22" ht="14.25">
      <c r="B40" s="104">
        <v>23</v>
      </c>
      <c r="C40" s="29" t="s">
        <v>456</v>
      </c>
      <c r="D40" s="179" t="s">
        <v>454</v>
      </c>
      <c r="E40" s="176"/>
      <c r="F40" s="176"/>
      <c r="G40" s="176"/>
      <c r="H40" s="176"/>
      <c r="I40" s="176"/>
      <c r="J40" s="176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</row>
    <row r="41" spans="2:22" ht="14.25">
      <c r="B41" s="104">
        <v>24</v>
      </c>
      <c r="C41" s="29" t="s">
        <v>457</v>
      </c>
      <c r="D41" s="179" t="s">
        <v>454</v>
      </c>
      <c r="E41" s="176"/>
      <c r="F41" s="176"/>
      <c r="G41" s="176"/>
      <c r="H41" s="176"/>
      <c r="I41" s="176"/>
      <c r="J41" s="176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</row>
    <row r="42" spans="2:22" ht="14.25">
      <c r="B42" s="104">
        <v>25</v>
      </c>
      <c r="C42" s="29" t="s">
        <v>458</v>
      </c>
      <c r="D42" s="179" t="s">
        <v>454</v>
      </c>
      <c r="E42" s="176"/>
      <c r="F42" s="176"/>
      <c r="G42" s="176"/>
      <c r="H42" s="176"/>
      <c r="I42" s="176"/>
      <c r="J42" s="176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</row>
    <row r="43" spans="2:22" ht="14.25">
      <c r="B43" s="104">
        <v>26</v>
      </c>
      <c r="C43" s="29" t="s">
        <v>459</v>
      </c>
      <c r="D43" s="179" t="s">
        <v>454</v>
      </c>
      <c r="E43" s="176"/>
      <c r="F43" s="176"/>
      <c r="G43" s="176"/>
      <c r="H43" s="176"/>
      <c r="I43" s="176"/>
      <c r="J43" s="176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</row>
    <row r="44" spans="2:22" ht="14.25">
      <c r="B44" s="104">
        <v>27</v>
      </c>
      <c r="C44" s="29" t="s">
        <v>460</v>
      </c>
      <c r="D44" s="179" t="s">
        <v>454</v>
      </c>
      <c r="E44" s="176"/>
      <c r="F44" s="176"/>
      <c r="G44" s="176"/>
      <c r="H44" s="176"/>
      <c r="I44" s="176"/>
      <c r="J44" s="176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</row>
    <row r="45" spans="2:22" ht="14.25">
      <c r="B45" s="104">
        <v>28</v>
      </c>
      <c r="C45" s="29" t="s">
        <v>461</v>
      </c>
      <c r="D45" s="179" t="s">
        <v>454</v>
      </c>
      <c r="E45" s="176"/>
      <c r="F45" s="176"/>
      <c r="G45" s="176"/>
      <c r="H45" s="176"/>
      <c r="I45" s="176"/>
      <c r="J45" s="176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</row>
    <row r="46" spans="2:22" ht="14.25">
      <c r="B46" s="104">
        <v>29</v>
      </c>
      <c r="C46" s="29" t="s">
        <v>462</v>
      </c>
      <c r="D46" s="179" t="s">
        <v>454</v>
      </c>
      <c r="E46" s="176"/>
      <c r="F46" s="176"/>
      <c r="G46" s="176"/>
      <c r="H46" s="176"/>
      <c r="I46" s="176"/>
      <c r="J46" s="176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</row>
    <row r="47" spans="2:22" ht="14.25">
      <c r="B47" s="104">
        <v>30</v>
      </c>
      <c r="C47" s="29" t="s">
        <v>463</v>
      </c>
      <c r="D47" s="179" t="s">
        <v>454</v>
      </c>
      <c r="E47" s="299" t="s">
        <v>464</v>
      </c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0"/>
      <c r="T47" s="300"/>
      <c r="U47" s="300"/>
      <c r="V47" s="301"/>
    </row>
    <row r="49" spans="2:3" ht="15">
      <c r="B49" s="102" t="s">
        <v>237</v>
      </c>
    </row>
    <row r="50" spans="2:3" ht="14.25">
      <c r="B50" s="101">
        <v>1</v>
      </c>
      <c r="C50" s="100" t="s">
        <v>338</v>
      </c>
    </row>
    <row r="51" spans="2:3" ht="14.25">
      <c r="B51" s="101">
        <v>2</v>
      </c>
      <c r="C51" s="100" t="s">
        <v>339</v>
      </c>
    </row>
    <row r="52" spans="2:3" ht="14.25">
      <c r="B52" s="101">
        <v>3</v>
      </c>
      <c r="C52" s="100" t="s">
        <v>340</v>
      </c>
    </row>
    <row r="53" spans="2:3" ht="14.25">
      <c r="B53" s="101">
        <v>4</v>
      </c>
      <c r="C53" s="100" t="s">
        <v>341</v>
      </c>
    </row>
  </sheetData>
  <mergeCells count="9">
    <mergeCell ref="B2:V2"/>
    <mergeCell ref="B3:V3"/>
    <mergeCell ref="B4:V4"/>
    <mergeCell ref="Q6:V6"/>
    <mergeCell ref="E47:V47"/>
    <mergeCell ref="B6:B7"/>
    <mergeCell ref="C6:C7"/>
    <mergeCell ref="D6:D7"/>
    <mergeCell ref="E6:P6"/>
  </mergeCells>
  <pageMargins left="0" right="0" top="0.25" bottom="0.25" header="0.3" footer="0.3"/>
  <pageSetup paperSize="9" scale="5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19"/>
  <sheetViews>
    <sheetView showGridLines="0" view="pageBreakPreview" zoomScaleNormal="91" zoomScaleSheetLayoutView="100" workbookViewId="0">
      <selection activeCell="G13" sqref="G13"/>
    </sheetView>
  </sheetViews>
  <sheetFormatPr defaultColWidth="9.28515625" defaultRowHeight="14.25"/>
  <cols>
    <col min="1" max="1" width="2.42578125" style="100" customWidth="1"/>
    <col min="2" max="2" width="33.7109375" style="100" customWidth="1"/>
    <col min="3" max="3" width="11" style="100" customWidth="1"/>
    <col min="4" max="4" width="11.7109375" style="100" customWidth="1"/>
    <col min="5" max="5" width="13.85546875" style="100" customWidth="1"/>
    <col min="6" max="6" width="12" style="100" customWidth="1"/>
    <col min="7" max="7" width="15" style="100" customWidth="1"/>
    <col min="8" max="16384" width="9.28515625" style="100"/>
  </cols>
  <sheetData>
    <row r="2" spans="2:7" ht="14.25" customHeight="1">
      <c r="B2" s="243" t="s">
        <v>399</v>
      </c>
      <c r="C2" s="243"/>
      <c r="D2" s="243"/>
      <c r="E2" s="243"/>
      <c r="F2" s="243"/>
      <c r="G2" s="243"/>
    </row>
    <row r="3" spans="2:7" ht="14.25" customHeight="1">
      <c r="B3" s="243" t="s">
        <v>472</v>
      </c>
      <c r="C3" s="243"/>
      <c r="D3" s="243"/>
      <c r="E3" s="243"/>
      <c r="F3" s="243"/>
      <c r="G3" s="243"/>
    </row>
    <row r="4" spans="2:7" ht="14.25" customHeight="1">
      <c r="B4" s="243" t="s">
        <v>344</v>
      </c>
      <c r="C4" s="243"/>
      <c r="D4" s="243"/>
      <c r="E4" s="243"/>
      <c r="F4" s="243"/>
      <c r="G4" s="243"/>
    </row>
    <row r="6" spans="2:7" ht="15">
      <c r="B6" s="296" t="s">
        <v>16</v>
      </c>
      <c r="C6" s="296" t="s">
        <v>205</v>
      </c>
      <c r="D6" s="296" t="s">
        <v>37</v>
      </c>
      <c r="E6" s="254" t="s">
        <v>400</v>
      </c>
      <c r="F6" s="255"/>
      <c r="G6" s="256"/>
    </row>
    <row r="7" spans="2:7" ht="30">
      <c r="B7" s="296"/>
      <c r="C7" s="296"/>
      <c r="D7" s="296"/>
      <c r="E7" s="17" t="s">
        <v>368</v>
      </c>
      <c r="F7" s="17" t="s">
        <v>235</v>
      </c>
      <c r="G7" s="17" t="s">
        <v>204</v>
      </c>
    </row>
    <row r="8" spans="2:7" ht="15">
      <c r="B8" s="296"/>
      <c r="C8" s="296"/>
      <c r="D8" s="296"/>
      <c r="E8" s="17" t="s">
        <v>8</v>
      </c>
      <c r="F8" s="17" t="s">
        <v>10</v>
      </c>
      <c r="G8" s="17" t="s">
        <v>226</v>
      </c>
    </row>
    <row r="9" spans="2:7">
      <c r="B9" s="107" t="s">
        <v>167</v>
      </c>
      <c r="C9" s="110" t="s">
        <v>351</v>
      </c>
      <c r="D9" s="110" t="s">
        <v>40</v>
      </c>
      <c r="E9" s="29">
        <v>7.5</v>
      </c>
      <c r="F9" s="119">
        <v>6.0617180519701739</v>
      </c>
      <c r="G9" s="119">
        <f t="shared" ref="G9:G19" si="0">F9</f>
        <v>6.0617180519701739</v>
      </c>
    </row>
    <row r="10" spans="2:7">
      <c r="B10" s="108" t="s">
        <v>203</v>
      </c>
      <c r="C10" s="111" t="s">
        <v>361</v>
      </c>
      <c r="D10" s="111" t="s">
        <v>47</v>
      </c>
      <c r="E10" s="29">
        <v>2450</v>
      </c>
      <c r="F10" s="122">
        <v>2346.7869497398738</v>
      </c>
      <c r="G10" s="122">
        <f t="shared" si="0"/>
        <v>2346.7869497398738</v>
      </c>
    </row>
    <row r="11" spans="2:7">
      <c r="B11" s="107" t="s">
        <v>345</v>
      </c>
      <c r="C11" s="110" t="s">
        <v>352</v>
      </c>
      <c r="D11" s="110" t="s">
        <v>49</v>
      </c>
      <c r="E11" s="29">
        <v>2</v>
      </c>
      <c r="F11" s="119">
        <v>0.33368225338526997</v>
      </c>
      <c r="G11" s="119">
        <f t="shared" si="0"/>
        <v>0.33368225338526997</v>
      </c>
    </row>
    <row r="12" spans="2:7">
      <c r="B12" s="107" t="s">
        <v>346</v>
      </c>
      <c r="C12" s="110" t="s">
        <v>353</v>
      </c>
      <c r="D12" s="110" t="s">
        <v>354</v>
      </c>
      <c r="E12" s="122">
        <f>F12</f>
        <v>9390</v>
      </c>
      <c r="F12" s="122">
        <v>9390</v>
      </c>
      <c r="G12" s="122">
        <f t="shared" si="0"/>
        <v>9390</v>
      </c>
    </row>
    <row r="13" spans="2:7">
      <c r="B13" s="107" t="s">
        <v>347</v>
      </c>
      <c r="C13" s="110" t="s">
        <v>355</v>
      </c>
      <c r="D13" s="110" t="s">
        <v>356</v>
      </c>
      <c r="E13" s="119">
        <f>F13</f>
        <v>6.5875778271453911E-2</v>
      </c>
      <c r="F13" s="119">
        <v>6.5875778271453911E-2</v>
      </c>
      <c r="G13" s="119">
        <f t="shared" si="0"/>
        <v>6.5875778271453911E-2</v>
      </c>
    </row>
    <row r="14" spans="2:7">
      <c r="B14" s="107" t="s">
        <v>362</v>
      </c>
      <c r="C14" s="110" t="s">
        <v>357</v>
      </c>
      <c r="D14" s="110" t="s">
        <v>331</v>
      </c>
      <c r="E14" s="119">
        <f>F14</f>
        <v>4023.5841139044555</v>
      </c>
      <c r="F14" s="119">
        <v>4023.5841139044555</v>
      </c>
      <c r="G14" s="119">
        <f t="shared" si="0"/>
        <v>4023.5841139044555</v>
      </c>
    </row>
    <row r="15" spans="2:7">
      <c r="B15" s="107" t="s">
        <v>348</v>
      </c>
      <c r="C15" s="110" t="s">
        <v>358</v>
      </c>
      <c r="D15" s="110" t="s">
        <v>359</v>
      </c>
      <c r="E15" s="119">
        <f>F15</f>
        <v>5.1542290905697596</v>
      </c>
      <c r="F15" s="119">
        <v>5.1542290905697596</v>
      </c>
      <c r="G15" s="119">
        <f t="shared" si="0"/>
        <v>5.1542290905697596</v>
      </c>
    </row>
    <row r="16" spans="2:7">
      <c r="B16" s="107" t="s">
        <v>349</v>
      </c>
      <c r="C16" s="110"/>
      <c r="D16" s="110" t="s">
        <v>360</v>
      </c>
      <c r="E16" s="119">
        <f>(E10-(E11*E12/1000))/E14</f>
        <v>0.60424236978129486</v>
      </c>
      <c r="F16" s="119">
        <f>(F10-(F11*F12/1000))/F14</f>
        <v>0.58247910495558708</v>
      </c>
      <c r="G16" s="119">
        <f t="shared" si="0"/>
        <v>0.58247910495558708</v>
      </c>
    </row>
    <row r="17" spans="2:7" ht="15">
      <c r="B17" s="107" t="s">
        <v>405</v>
      </c>
      <c r="C17" s="110"/>
      <c r="D17" s="109" t="s">
        <v>200</v>
      </c>
      <c r="E17" s="161">
        <f>IFERROR(((E10-E11*E12/1000)*E15/E14)*100/(100-E9),0)</f>
        <v>3.3669228108989837</v>
      </c>
      <c r="F17" s="161">
        <f>IFERROR(((F10-F11*F12/1000)*F15/F14)*100/(100-F9),0)</f>
        <v>3.1959608853311474</v>
      </c>
      <c r="G17" s="161">
        <f t="shared" si="0"/>
        <v>3.1959608853311474</v>
      </c>
    </row>
    <row r="18" spans="2:7" ht="15">
      <c r="B18" s="107" t="s">
        <v>406</v>
      </c>
      <c r="C18" s="110"/>
      <c r="D18" s="109" t="s">
        <v>200</v>
      </c>
      <c r="E18" s="161">
        <f>IFERROR((E11*E13)*100/(100-E9),0)</f>
        <v>0.14243411518152196</v>
      </c>
      <c r="F18" s="161">
        <f>IFERROR((F11*F13)*100/(100-F9),0)</f>
        <v>2.3400021462270489E-2</v>
      </c>
      <c r="G18" s="161">
        <f t="shared" si="0"/>
        <v>2.3400021462270489E-2</v>
      </c>
    </row>
    <row r="19" spans="2:7" ht="15">
      <c r="B19" s="109" t="s">
        <v>350</v>
      </c>
      <c r="C19" s="110"/>
      <c r="D19" s="109" t="s">
        <v>200</v>
      </c>
      <c r="E19" s="160">
        <f>IFERROR(((E10-E11*E12/1000)*E15/E14+E11*E13)*100/(100-E9),0)</f>
        <v>3.509356926080506</v>
      </c>
      <c r="F19" s="160">
        <f>IFERROR(((F10-F11*F12/1000)*F15/F14+F11*F13)*100/(100-F9),0)</f>
        <v>3.2193609067934177</v>
      </c>
      <c r="G19" s="160">
        <f t="shared" si="0"/>
        <v>3.2193609067934177</v>
      </c>
    </row>
  </sheetData>
  <mergeCells count="7">
    <mergeCell ref="B4:G4"/>
    <mergeCell ref="B3:G3"/>
    <mergeCell ref="B2:G2"/>
    <mergeCell ref="E6:G6"/>
    <mergeCell ref="B6:B8"/>
    <mergeCell ref="D6:D8"/>
    <mergeCell ref="C6:C8"/>
  </mergeCells>
  <pageMargins left="1.7" right="0.2" top="0.75" bottom="0.75" header="0.3" footer="0.3"/>
  <pageSetup paperSize="9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3"/>
  <sheetViews>
    <sheetView showGridLines="0" view="pageBreakPreview" zoomScale="87" zoomScaleNormal="93" zoomScaleSheetLayoutView="87" workbookViewId="0">
      <selection activeCell="G13" sqref="G13"/>
    </sheetView>
  </sheetViews>
  <sheetFormatPr defaultColWidth="9.28515625" defaultRowHeight="14.25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>
      <c r="B2" s="243" t="s">
        <v>399</v>
      </c>
      <c r="C2" s="243"/>
      <c r="D2" s="243"/>
      <c r="E2" s="243"/>
      <c r="F2" s="243"/>
      <c r="G2" s="243"/>
      <c r="H2" s="243"/>
      <c r="I2" s="243"/>
    </row>
    <row r="3" spans="2:9" ht="14.25" customHeight="1">
      <c r="B3" s="243" t="s">
        <v>472</v>
      </c>
      <c r="C3" s="243"/>
      <c r="D3" s="243"/>
      <c r="E3" s="243"/>
      <c r="F3" s="243"/>
      <c r="G3" s="243"/>
      <c r="H3" s="243"/>
      <c r="I3" s="243"/>
    </row>
    <row r="4" spans="2:9" s="4" customFormat="1" ht="14.25" customHeight="1">
      <c r="B4" s="239" t="s">
        <v>404</v>
      </c>
      <c r="C4" s="239"/>
      <c r="D4" s="239"/>
      <c r="E4" s="239"/>
      <c r="F4" s="239"/>
      <c r="G4" s="239"/>
      <c r="H4" s="239"/>
      <c r="I4" s="239"/>
    </row>
    <row r="6" spans="2:9" ht="15">
      <c r="I6" s="35" t="s">
        <v>478</v>
      </c>
    </row>
    <row r="7" spans="2:9" ht="12.75" customHeight="1">
      <c r="B7" s="247" t="s">
        <v>189</v>
      </c>
      <c r="C7" s="250" t="s">
        <v>16</v>
      </c>
      <c r="D7" s="244" t="s">
        <v>37</v>
      </c>
      <c r="E7" s="250" t="s">
        <v>1</v>
      </c>
      <c r="F7" s="254" t="s">
        <v>400</v>
      </c>
      <c r="G7" s="255"/>
      <c r="H7" s="256"/>
      <c r="I7" s="252" t="s">
        <v>9</v>
      </c>
    </row>
    <row r="8" spans="2:9" ht="30" customHeight="1">
      <c r="B8" s="248"/>
      <c r="C8" s="250"/>
      <c r="D8" s="245"/>
      <c r="E8" s="250"/>
      <c r="F8" s="17" t="s">
        <v>368</v>
      </c>
      <c r="G8" s="17" t="s">
        <v>225</v>
      </c>
      <c r="H8" s="17" t="s">
        <v>204</v>
      </c>
      <c r="I8" s="252"/>
    </row>
    <row r="9" spans="2:9" ht="15">
      <c r="B9" s="249"/>
      <c r="C9" s="251"/>
      <c r="D9" s="246"/>
      <c r="E9" s="251"/>
      <c r="F9" s="17" t="s">
        <v>8</v>
      </c>
      <c r="G9" s="17" t="s">
        <v>10</v>
      </c>
      <c r="H9" s="17" t="s">
        <v>226</v>
      </c>
      <c r="I9" s="253"/>
    </row>
    <row r="10" spans="2:9" ht="15">
      <c r="B10" s="24" t="s">
        <v>65</v>
      </c>
      <c r="C10" s="25" t="s">
        <v>230</v>
      </c>
      <c r="D10" s="22"/>
      <c r="E10" s="22"/>
      <c r="F10" s="17"/>
      <c r="G10" s="17"/>
      <c r="H10" s="17"/>
      <c r="I10" s="23"/>
    </row>
    <row r="11" spans="2:9" ht="15">
      <c r="B11" s="2">
        <v>1</v>
      </c>
      <c r="C11" s="3" t="s">
        <v>34</v>
      </c>
      <c r="D11" s="2" t="s">
        <v>201</v>
      </c>
      <c r="E11" s="19" t="s">
        <v>264</v>
      </c>
      <c r="F11" s="142">
        <f>'F2'!E14</f>
        <v>168.64</v>
      </c>
      <c r="G11" s="142">
        <f>'F2'!F14</f>
        <v>215.58</v>
      </c>
      <c r="H11" s="142">
        <f>'F2'!G14</f>
        <v>215.58</v>
      </c>
      <c r="I11" s="147"/>
    </row>
    <row r="12" spans="2:9" ht="15">
      <c r="B12" s="2">
        <f t="shared" ref="B12:B17" si="0">B11+1</f>
        <v>2</v>
      </c>
      <c r="C12" s="20" t="s">
        <v>163</v>
      </c>
      <c r="D12" s="2" t="s">
        <v>201</v>
      </c>
      <c r="E12" s="19" t="s">
        <v>21</v>
      </c>
      <c r="F12" s="148">
        <v>74.16</v>
      </c>
      <c r="G12" s="148">
        <f>H12</f>
        <v>17.489999999999998</v>
      </c>
      <c r="H12" s="142">
        <f>'F4'!K22-'F4'!L22</f>
        <v>17.489999999999998</v>
      </c>
      <c r="I12" s="147"/>
    </row>
    <row r="13" spans="2:9" ht="15">
      <c r="B13" s="2">
        <f t="shared" si="0"/>
        <v>3</v>
      </c>
      <c r="C13" s="3" t="s">
        <v>228</v>
      </c>
      <c r="D13" s="2" t="s">
        <v>201</v>
      </c>
      <c r="E13" s="18" t="s">
        <v>27</v>
      </c>
      <c r="F13" s="142">
        <f>'F5'!D22</f>
        <v>0</v>
      </c>
      <c r="G13" s="142">
        <f>'F5'!E22</f>
        <v>0</v>
      </c>
      <c r="H13" s="142">
        <f>'F5'!F22</f>
        <v>0</v>
      </c>
      <c r="I13" s="147"/>
    </row>
    <row r="14" spans="2:9" ht="15">
      <c r="B14" s="2">
        <f t="shared" si="0"/>
        <v>4</v>
      </c>
      <c r="C14" s="20" t="s">
        <v>35</v>
      </c>
      <c r="D14" s="2" t="s">
        <v>201</v>
      </c>
      <c r="E14" s="18" t="s">
        <v>28</v>
      </c>
      <c r="F14" s="142">
        <f>'F6'!D20</f>
        <v>33.46</v>
      </c>
      <c r="G14" s="142">
        <f ca="1">'F6'!E20</f>
        <v>41.396730529408508</v>
      </c>
      <c r="H14" s="142">
        <f ca="1">'F6'!F20</f>
        <v>41.396730529408508</v>
      </c>
      <c r="I14" s="147"/>
    </row>
    <row r="15" spans="2:9" ht="15">
      <c r="B15" s="2">
        <f t="shared" si="0"/>
        <v>5</v>
      </c>
      <c r="C15" s="3" t="s">
        <v>229</v>
      </c>
      <c r="D15" s="2" t="s">
        <v>201</v>
      </c>
      <c r="E15" s="18" t="s">
        <v>29</v>
      </c>
      <c r="F15" s="142">
        <f>'F7'!D22</f>
        <v>143.61000000000001</v>
      </c>
      <c r="G15" s="142">
        <f>'F7'!E22</f>
        <v>158.38999999999999</v>
      </c>
      <c r="H15" s="142">
        <f>'F7'!F22</f>
        <v>158.38999999999999</v>
      </c>
      <c r="I15" s="147"/>
    </row>
    <row r="16" spans="2:9" ht="15">
      <c r="B16" s="2">
        <f t="shared" si="0"/>
        <v>6</v>
      </c>
      <c r="C16" s="3" t="s">
        <v>36</v>
      </c>
      <c r="D16" s="2" t="s">
        <v>201</v>
      </c>
      <c r="E16" s="18" t="s">
        <v>30</v>
      </c>
      <c r="F16" s="142">
        <f>'F8'!D34</f>
        <v>0</v>
      </c>
      <c r="G16" s="142">
        <f>'F8'!E34</f>
        <v>26.55</v>
      </c>
      <c r="H16" s="142">
        <f>G16</f>
        <v>26.55</v>
      </c>
      <c r="I16" s="147"/>
    </row>
    <row r="17" spans="2:9" ht="15">
      <c r="B17" s="16">
        <f t="shared" si="0"/>
        <v>7</v>
      </c>
      <c r="C17" s="21" t="s">
        <v>230</v>
      </c>
      <c r="D17" s="16" t="s">
        <v>201</v>
      </c>
      <c r="E17" s="18"/>
      <c r="F17" s="142">
        <f>SUM(F11:F16)</f>
        <v>419.87</v>
      </c>
      <c r="G17" s="142">
        <f ca="1">SUM(G11:G15)-G16</f>
        <v>406.30673052940853</v>
      </c>
      <c r="H17" s="142">
        <f t="shared" ref="H17" ca="1" si="1">SUM(H11:H15)-H16</f>
        <v>406.30673052940853</v>
      </c>
      <c r="I17" s="147"/>
    </row>
    <row r="18" spans="2:9" ht="15">
      <c r="B18" s="16" t="s">
        <v>69</v>
      </c>
      <c r="C18" s="16" t="s">
        <v>231</v>
      </c>
      <c r="D18" s="18"/>
      <c r="E18" s="18"/>
      <c r="F18" s="18"/>
      <c r="G18" s="3"/>
      <c r="H18" s="143"/>
      <c r="I18" s="3"/>
    </row>
    <row r="19" spans="2:9" ht="15">
      <c r="B19" s="2">
        <v>1</v>
      </c>
      <c r="C19" s="18" t="s">
        <v>232</v>
      </c>
      <c r="D19" s="2" t="s">
        <v>200</v>
      </c>
      <c r="E19" s="18" t="s">
        <v>160</v>
      </c>
      <c r="F19" s="162">
        <f>'F12'!E19</f>
        <v>3.509356926080506</v>
      </c>
      <c r="G19" s="162">
        <f>'F12'!F19</f>
        <v>3.2193609067934177</v>
      </c>
      <c r="H19" s="162">
        <f>'F12'!G19</f>
        <v>3.2193609067934177</v>
      </c>
      <c r="I19" s="3"/>
    </row>
    <row r="20" spans="2:9" ht="15">
      <c r="B20" s="2">
        <f>B19+1</f>
        <v>2</v>
      </c>
      <c r="C20" s="18" t="s">
        <v>233</v>
      </c>
      <c r="D20" s="2" t="s">
        <v>43</v>
      </c>
      <c r="E20" s="18" t="s">
        <v>32</v>
      </c>
      <c r="F20" s="142">
        <f>G20</f>
        <v>3521.3104872727276</v>
      </c>
      <c r="G20" s="142">
        <f>'F10'!F23</f>
        <v>3521.3104872727276</v>
      </c>
      <c r="H20" s="142">
        <f>G20</f>
        <v>3521.3104872727276</v>
      </c>
      <c r="I20" s="3"/>
    </row>
    <row r="21" spans="2:9" ht="15">
      <c r="B21" s="2">
        <f>B20+1</f>
        <v>3</v>
      </c>
      <c r="C21" s="18" t="s">
        <v>231</v>
      </c>
      <c r="D21" s="2" t="s">
        <v>201</v>
      </c>
      <c r="E21" s="18"/>
      <c r="F21" s="142">
        <v>1235.72</v>
      </c>
      <c r="G21" s="142">
        <f t="shared" ref="G21:H21" si="2">G19*G20/10</f>
        <v>1133.63693234075</v>
      </c>
      <c r="H21" s="142">
        <f t="shared" si="2"/>
        <v>1133.63693234075</v>
      </c>
      <c r="I21" s="3"/>
    </row>
    <row r="22" spans="2:9" ht="15">
      <c r="B22" s="16" t="s">
        <v>70</v>
      </c>
      <c r="C22" s="16" t="s">
        <v>392</v>
      </c>
      <c r="D22" s="2" t="s">
        <v>201</v>
      </c>
      <c r="E22" s="3"/>
      <c r="F22" s="225">
        <f>F17+F21</f>
        <v>1655.5900000000001</v>
      </c>
      <c r="G22" s="142">
        <f t="shared" ref="G22:H22" ca="1" si="3">G17+G21</f>
        <v>1539.9436628701585</v>
      </c>
      <c r="H22" s="142">
        <f t="shared" ca="1" si="3"/>
        <v>1539.9436628701585</v>
      </c>
      <c r="I22" s="3"/>
    </row>
    <row r="23" spans="2:9">
      <c r="F23" s="163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73" right="0.23" top="0.92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O13"/>
  <sheetViews>
    <sheetView showGridLines="0" view="pageBreakPreview" zoomScale="90" zoomScaleNormal="93" zoomScaleSheetLayoutView="90" workbookViewId="0">
      <selection activeCell="G13" sqref="G13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>
      <c r="B1" s="112"/>
    </row>
    <row r="2" spans="2:15" ht="14.25" customHeight="1">
      <c r="B2" s="243" t="s">
        <v>399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</row>
    <row r="3" spans="2:15" ht="14.25" customHeight="1">
      <c r="B3" s="243" t="s">
        <v>472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</row>
    <row r="4" spans="2:15" ht="15">
      <c r="B4" s="243" t="s">
        <v>363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</row>
    <row r="5" spans="2:15" ht="15">
      <c r="B5" s="26" t="s">
        <v>400</v>
      </c>
      <c r="C5" s="74"/>
      <c r="D5" s="74"/>
      <c r="E5" s="74"/>
      <c r="F5" s="74"/>
      <c r="G5" s="74"/>
      <c r="H5" s="74"/>
      <c r="I5" s="37"/>
    </row>
    <row r="6" spans="2:15" ht="15">
      <c r="B6" s="26" t="s">
        <v>10</v>
      </c>
      <c r="C6" s="27"/>
      <c r="D6" s="27"/>
      <c r="O6" s="27" t="s">
        <v>138</v>
      </c>
    </row>
    <row r="7" spans="2:15" s="34" customFormat="1" ht="15" customHeight="1">
      <c r="B7" s="32" t="s">
        <v>364</v>
      </c>
      <c r="C7" s="32" t="s">
        <v>139</v>
      </c>
      <c r="D7" s="32" t="s">
        <v>140</v>
      </c>
      <c r="E7" s="113" t="s">
        <v>141</v>
      </c>
      <c r="F7" s="113" t="s">
        <v>142</v>
      </c>
      <c r="G7" s="113" t="s">
        <v>143</v>
      </c>
      <c r="H7" s="113" t="s">
        <v>144</v>
      </c>
      <c r="I7" s="113" t="s">
        <v>145</v>
      </c>
      <c r="J7" s="113" t="s">
        <v>146</v>
      </c>
      <c r="K7" s="113" t="s">
        <v>147</v>
      </c>
      <c r="L7" s="113" t="s">
        <v>148</v>
      </c>
      <c r="M7" s="113" t="s">
        <v>149</v>
      </c>
      <c r="N7" s="113" t="s">
        <v>150</v>
      </c>
      <c r="O7" s="113" t="s">
        <v>137</v>
      </c>
    </row>
    <row r="8" spans="2:15" s="34" customFormat="1" ht="15">
      <c r="B8" s="211" t="s">
        <v>469</v>
      </c>
      <c r="C8" s="210">
        <f>254.86*0.7055</f>
        <v>179.80373</v>
      </c>
      <c r="D8" s="210">
        <f>292.05*0.7055</f>
        <v>206.04127500000001</v>
      </c>
      <c r="E8" s="210">
        <f>308.82*0.7055</f>
        <v>217.87251000000001</v>
      </c>
      <c r="F8" s="210">
        <f>305.33*0.7055</f>
        <v>215.410315</v>
      </c>
      <c r="G8" s="210">
        <f>291.12*0.7055</f>
        <v>205.38516000000001</v>
      </c>
      <c r="H8" s="210">
        <f>277.66*0.7055</f>
        <v>195.88913000000002</v>
      </c>
      <c r="I8" s="210">
        <f>283.45*0.7055</f>
        <v>199.973975</v>
      </c>
      <c r="J8" s="210">
        <f>299.41*0.7055</f>
        <v>211.23375500000003</v>
      </c>
      <c r="K8" s="210">
        <f>300.87*0.7055</f>
        <v>212.26378500000001</v>
      </c>
      <c r="L8" s="210">
        <f>318.32*0.7055</f>
        <v>224.57476</v>
      </c>
      <c r="M8" s="210">
        <f>288.12*0.7055</f>
        <v>203.26866000000001</v>
      </c>
      <c r="N8" s="210">
        <f>301.305359*0.7055</f>
        <v>212.5709307745</v>
      </c>
      <c r="O8" s="210">
        <f>SUM(C8:N8)</f>
        <v>2484.2879857745006</v>
      </c>
    </row>
    <row r="9" spans="2:15" s="34" customFormat="1" ht="15">
      <c r="B9" s="211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</row>
    <row r="10" spans="2:15" s="34" customFormat="1" ht="15">
      <c r="B10" s="211" t="s">
        <v>470</v>
      </c>
      <c r="C10" s="210">
        <f>254.86*0.2945</f>
        <v>75.056269999999998</v>
      </c>
      <c r="D10" s="210">
        <f>292.05*0.2945</f>
        <v>86.008724999999998</v>
      </c>
      <c r="E10" s="210">
        <f>308.82*0.2945</f>
        <v>90.947489999999988</v>
      </c>
      <c r="F10" s="210">
        <f>305.33*0.2945</f>
        <v>89.919684999999987</v>
      </c>
      <c r="G10" s="210">
        <f>291.12*0.2945</f>
        <v>85.734839999999991</v>
      </c>
      <c r="H10" s="210">
        <f>277.66*0.2945</f>
        <v>81.770870000000002</v>
      </c>
      <c r="I10" s="210">
        <f>283.45*0.2945</f>
        <v>83.476024999999993</v>
      </c>
      <c r="J10" s="210">
        <f>299.41*0.2945</f>
        <v>88.176245000000009</v>
      </c>
      <c r="K10" s="210">
        <f>300.87*0.2945</f>
        <v>88.606214999999992</v>
      </c>
      <c r="L10" s="210">
        <f>318.32*0.2945</f>
        <v>93.745239999999995</v>
      </c>
      <c r="M10" s="210">
        <f>288.12*0.2945</f>
        <v>84.851339999999993</v>
      </c>
      <c r="N10" s="210">
        <f>301.305359*0.2945</f>
        <v>88.734428225499997</v>
      </c>
      <c r="O10" s="210">
        <f>SUM(C10:N10)</f>
        <v>1037.0273732255</v>
      </c>
    </row>
    <row r="11" spans="2:15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>
      <c r="B12" s="41" t="s">
        <v>137</v>
      </c>
      <c r="C12" s="133">
        <f>C8+C10</f>
        <v>254.86</v>
      </c>
      <c r="D12" s="133">
        <f t="shared" ref="D12:O12" si="0">D8+D10</f>
        <v>292.05</v>
      </c>
      <c r="E12" s="133">
        <f t="shared" si="0"/>
        <v>308.82</v>
      </c>
      <c r="F12" s="133">
        <f t="shared" si="0"/>
        <v>305.33</v>
      </c>
      <c r="G12" s="133">
        <f t="shared" si="0"/>
        <v>291.12</v>
      </c>
      <c r="H12" s="133">
        <f t="shared" si="0"/>
        <v>277.66000000000003</v>
      </c>
      <c r="I12" s="133">
        <f t="shared" si="0"/>
        <v>283.45</v>
      </c>
      <c r="J12" s="133">
        <f t="shared" si="0"/>
        <v>299.41000000000003</v>
      </c>
      <c r="K12" s="133">
        <f t="shared" si="0"/>
        <v>300.87</v>
      </c>
      <c r="L12" s="133">
        <f t="shared" si="0"/>
        <v>318.32</v>
      </c>
      <c r="M12" s="133">
        <f t="shared" si="0"/>
        <v>288.12</v>
      </c>
      <c r="N12" s="133">
        <f>N8+N10</f>
        <v>301.30535900000001</v>
      </c>
      <c r="O12" s="133">
        <f t="shared" si="0"/>
        <v>3521.3153590000006</v>
      </c>
    </row>
    <row r="13" spans="2:15" ht="16.5">
      <c r="B13" s="26"/>
      <c r="C13" s="74"/>
      <c r="D13" s="74"/>
      <c r="E13" s="74"/>
      <c r="F13" s="74"/>
      <c r="G13" s="74"/>
      <c r="H13" s="74"/>
      <c r="I13" s="98"/>
    </row>
  </sheetData>
  <mergeCells count="3">
    <mergeCell ref="B2:O2"/>
    <mergeCell ref="B3:O3"/>
    <mergeCell ref="B4:O4"/>
  </mergeCells>
  <pageMargins left="0.38" right="0.33" top="0.25" bottom="0.12" header="0.25" footer="0.25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showGridLines="0" tabSelected="1" view="pageBreakPreview" topLeftCell="A8" zoomScaleNormal="93" zoomScaleSheetLayoutView="100" workbookViewId="0">
      <selection activeCell="C30" sqref="C30"/>
    </sheetView>
  </sheetViews>
  <sheetFormatPr defaultColWidth="9.28515625" defaultRowHeight="14.25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>
      <c r="B1" s="112"/>
    </row>
    <row r="2" spans="2:17" s="5" customFormat="1" ht="15" customHeight="1"/>
    <row r="3" spans="2:17" s="5" customFormat="1" ht="15" customHeight="1">
      <c r="I3" s="34" t="s">
        <v>399</v>
      </c>
    </row>
    <row r="4" spans="2:17" s="5" customFormat="1" ht="15" customHeight="1">
      <c r="I4" s="34" t="s">
        <v>472</v>
      </c>
    </row>
    <row r="5" spans="2:17" ht="15">
      <c r="B5" s="26" t="s">
        <v>400</v>
      </c>
      <c r="I5" s="37" t="s">
        <v>367</v>
      </c>
    </row>
    <row r="6" spans="2:17" ht="15">
      <c r="B6" s="38" t="s">
        <v>10</v>
      </c>
    </row>
    <row r="7" spans="2:17" ht="30">
      <c r="B7" s="114" t="s">
        <v>189</v>
      </c>
      <c r="C7" s="114" t="s">
        <v>16</v>
      </c>
      <c r="D7" s="114" t="s">
        <v>37</v>
      </c>
      <c r="E7" s="32" t="s">
        <v>139</v>
      </c>
      <c r="F7" s="32" t="s">
        <v>140</v>
      </c>
      <c r="G7" s="113" t="s">
        <v>141</v>
      </c>
      <c r="H7" s="113" t="s">
        <v>142</v>
      </c>
      <c r="I7" s="113" t="s">
        <v>143</v>
      </c>
      <c r="J7" s="113" t="s">
        <v>144</v>
      </c>
      <c r="K7" s="113" t="s">
        <v>145</v>
      </c>
      <c r="L7" s="113" t="s">
        <v>146</v>
      </c>
      <c r="M7" s="113" t="s">
        <v>147</v>
      </c>
      <c r="N7" s="113" t="s">
        <v>148</v>
      </c>
      <c r="O7" s="113" t="s">
        <v>149</v>
      </c>
      <c r="P7" s="113" t="s">
        <v>150</v>
      </c>
      <c r="Q7" s="115" t="s">
        <v>137</v>
      </c>
    </row>
    <row r="8" spans="2:17" ht="16.5">
      <c r="B8" s="116">
        <v>1</v>
      </c>
      <c r="C8" s="117" t="s">
        <v>168</v>
      </c>
      <c r="D8" s="116" t="s">
        <v>40</v>
      </c>
      <c r="E8" s="180">
        <v>80</v>
      </c>
      <c r="F8" s="180">
        <v>80</v>
      </c>
      <c r="G8" s="180">
        <v>80</v>
      </c>
      <c r="H8" s="180">
        <v>80</v>
      </c>
      <c r="I8" s="180">
        <v>80</v>
      </c>
      <c r="J8" s="180">
        <v>80</v>
      </c>
      <c r="K8" s="180">
        <v>80</v>
      </c>
      <c r="L8" s="180">
        <v>80</v>
      </c>
      <c r="M8" s="180">
        <v>80</v>
      </c>
      <c r="N8" s="180">
        <v>80</v>
      </c>
      <c r="O8" s="180">
        <v>80</v>
      </c>
      <c r="P8" s="180">
        <v>80</v>
      </c>
      <c r="Q8" s="180">
        <v>80</v>
      </c>
    </row>
    <row r="9" spans="2:17" ht="16.5">
      <c r="B9" s="116">
        <f>B8+1</f>
        <v>2</v>
      </c>
      <c r="C9" s="117" t="s">
        <v>190</v>
      </c>
      <c r="D9" s="116" t="s">
        <v>40</v>
      </c>
      <c r="E9" s="205">
        <v>84.95</v>
      </c>
      <c r="F9" s="205">
        <v>95.09</v>
      </c>
      <c r="G9" s="205">
        <v>100</v>
      </c>
      <c r="H9" s="205">
        <v>92.38</v>
      </c>
      <c r="I9" s="205">
        <v>85.64</v>
      </c>
      <c r="J9" s="205">
        <v>84.54</v>
      </c>
      <c r="K9" s="205">
        <v>83.26</v>
      </c>
      <c r="L9" s="205">
        <v>96.24</v>
      </c>
      <c r="M9" s="205">
        <v>96.4</v>
      </c>
      <c r="N9" s="205">
        <v>99.87</v>
      </c>
      <c r="O9" s="205">
        <v>100</v>
      </c>
      <c r="P9" s="205">
        <v>92.24</v>
      </c>
      <c r="Q9" s="205">
        <v>92.53</v>
      </c>
    </row>
    <row r="10" spans="2:17" ht="16.5">
      <c r="B10" s="116">
        <f t="shared" ref="B10:B26" si="0">B9+1</f>
        <v>3</v>
      </c>
      <c r="C10" s="117" t="s">
        <v>191</v>
      </c>
      <c r="D10" s="116" t="s">
        <v>40</v>
      </c>
      <c r="E10" s="205">
        <v>84.95</v>
      </c>
      <c r="F10" s="205">
        <v>90.1</v>
      </c>
      <c r="G10" s="205">
        <v>93.45</v>
      </c>
      <c r="H10" s="205">
        <v>93.18</v>
      </c>
      <c r="I10" s="205">
        <v>91.65</v>
      </c>
      <c r="J10" s="205">
        <v>90.49</v>
      </c>
      <c r="K10" s="205">
        <v>89.44</v>
      </c>
      <c r="L10" s="205">
        <v>90.28</v>
      </c>
      <c r="M10" s="205">
        <v>90.97</v>
      </c>
      <c r="N10" s="205">
        <v>91.87</v>
      </c>
      <c r="O10" s="205">
        <v>92.64</v>
      </c>
      <c r="P10" s="205">
        <v>92.61</v>
      </c>
      <c r="Q10" s="180"/>
    </row>
    <row r="11" spans="2:17" ht="16.5">
      <c r="B11" s="116">
        <f t="shared" si="0"/>
        <v>4</v>
      </c>
      <c r="C11" s="117" t="s">
        <v>41</v>
      </c>
      <c r="D11" s="116" t="s">
        <v>40</v>
      </c>
      <c r="E11" s="205">
        <v>80</v>
      </c>
      <c r="F11" s="205">
        <v>80</v>
      </c>
      <c r="G11" s="205">
        <v>80</v>
      </c>
      <c r="H11" s="205">
        <v>80</v>
      </c>
      <c r="I11" s="205">
        <v>80</v>
      </c>
      <c r="J11" s="205">
        <v>80</v>
      </c>
      <c r="K11" s="205">
        <v>80</v>
      </c>
      <c r="L11" s="205">
        <v>80</v>
      </c>
      <c r="M11" s="205">
        <v>80</v>
      </c>
      <c r="N11" s="205">
        <v>80</v>
      </c>
      <c r="O11" s="205">
        <v>80</v>
      </c>
      <c r="P11" s="205">
        <v>80</v>
      </c>
      <c r="Q11" s="180">
        <v>80</v>
      </c>
    </row>
    <row r="12" spans="2:17" ht="16.5">
      <c r="B12" s="116">
        <f t="shared" si="0"/>
        <v>5</v>
      </c>
      <c r="C12" s="117" t="s">
        <v>192</v>
      </c>
      <c r="D12" s="116" t="s">
        <v>40</v>
      </c>
      <c r="E12" s="205">
        <v>75.680000000000007</v>
      </c>
      <c r="F12" s="205">
        <v>83.7</v>
      </c>
      <c r="G12" s="205">
        <v>91.27</v>
      </c>
      <c r="H12" s="205">
        <v>87.32</v>
      </c>
      <c r="I12" s="205">
        <v>83.11</v>
      </c>
      <c r="J12" s="205">
        <v>82.26</v>
      </c>
      <c r="K12" s="205">
        <v>81.42</v>
      </c>
      <c r="L12" s="205">
        <v>88.38</v>
      </c>
      <c r="M12" s="205">
        <v>86.06</v>
      </c>
      <c r="N12" s="205">
        <v>90.85</v>
      </c>
      <c r="O12" s="205">
        <v>87.96</v>
      </c>
      <c r="P12" s="205">
        <v>86.24</v>
      </c>
      <c r="Q12" s="180"/>
    </row>
    <row r="13" spans="2:17" ht="16.5">
      <c r="B13" s="116">
        <f t="shared" si="0"/>
        <v>6</v>
      </c>
      <c r="C13" s="117" t="s">
        <v>193</v>
      </c>
      <c r="D13" s="116" t="s">
        <v>40</v>
      </c>
      <c r="E13" s="205">
        <v>75.680000000000007</v>
      </c>
      <c r="F13" s="205">
        <v>79.760000000000005</v>
      </c>
      <c r="G13" s="205">
        <v>83.55</v>
      </c>
      <c r="H13" s="205">
        <v>84.51</v>
      </c>
      <c r="I13" s="205">
        <v>84.22</v>
      </c>
      <c r="J13" s="205">
        <v>83.9</v>
      </c>
      <c r="K13" s="205">
        <v>83.54</v>
      </c>
      <c r="L13" s="205">
        <v>84.14</v>
      </c>
      <c r="M13" s="205">
        <v>84.35</v>
      </c>
      <c r="N13" s="205">
        <v>85.01</v>
      </c>
      <c r="O13" s="205">
        <v>85.27</v>
      </c>
      <c r="P13" s="205">
        <v>85.35</v>
      </c>
      <c r="Q13" s="180"/>
    </row>
    <row r="14" spans="2:17" ht="16.5">
      <c r="B14" s="116">
        <f t="shared" si="0"/>
        <v>7</v>
      </c>
      <c r="C14" s="106" t="s">
        <v>194</v>
      </c>
      <c r="D14" s="120" t="s">
        <v>43</v>
      </c>
      <c r="E14" s="205">
        <v>272.45</v>
      </c>
      <c r="F14" s="205">
        <v>311.38</v>
      </c>
      <c r="G14" s="205">
        <v>328.55</v>
      </c>
      <c r="H14" s="205">
        <v>324.81</v>
      </c>
      <c r="I14" s="205">
        <v>309.17</v>
      </c>
      <c r="J14" s="205">
        <v>296.14</v>
      </c>
      <c r="K14" s="205">
        <v>302.87</v>
      </c>
      <c r="L14" s="205">
        <v>318.17</v>
      </c>
      <c r="M14" s="205">
        <v>320.13</v>
      </c>
      <c r="N14" s="205">
        <v>337.95</v>
      </c>
      <c r="O14" s="205">
        <v>306.11</v>
      </c>
      <c r="P14" s="205">
        <v>320.8</v>
      </c>
      <c r="Q14" s="180">
        <v>3748.53</v>
      </c>
    </row>
    <row r="15" spans="2:17" ht="16.5">
      <c r="B15" s="116">
        <f t="shared" si="0"/>
        <v>8</v>
      </c>
      <c r="C15" s="106" t="s">
        <v>195</v>
      </c>
      <c r="D15" s="120" t="s">
        <v>43</v>
      </c>
      <c r="E15" s="205">
        <v>17.59</v>
      </c>
      <c r="F15" s="205">
        <v>19.329999999999998</v>
      </c>
      <c r="G15" s="205">
        <v>19.739999999999998</v>
      </c>
      <c r="H15" s="205">
        <v>19.489999999999998</v>
      </c>
      <c r="I15" s="205">
        <v>18.059999999999999</v>
      </c>
      <c r="J15" s="205">
        <v>18.48</v>
      </c>
      <c r="K15" s="205">
        <v>19.43</v>
      </c>
      <c r="L15" s="205">
        <v>18.760000000000002</v>
      </c>
      <c r="M15" s="205">
        <v>19.260000000000002</v>
      </c>
      <c r="N15" s="205">
        <v>19.63</v>
      </c>
      <c r="O15" s="205">
        <v>17.989999999999998</v>
      </c>
      <c r="P15" s="205">
        <v>19.489999999999998</v>
      </c>
      <c r="Q15" s="180">
        <v>227.25</v>
      </c>
    </row>
    <row r="16" spans="2:17" s="221" customFormat="1" ht="16.5">
      <c r="B16" s="217">
        <f t="shared" si="0"/>
        <v>9</v>
      </c>
      <c r="C16" s="218" t="s">
        <v>212</v>
      </c>
      <c r="D16" s="219" t="s">
        <v>43</v>
      </c>
      <c r="E16" s="220">
        <v>254.85999999999999</v>
      </c>
      <c r="F16" s="220">
        <v>292.05</v>
      </c>
      <c r="G16" s="220">
        <v>308.81</v>
      </c>
      <c r="H16" s="220">
        <v>305.32</v>
      </c>
      <c r="I16" s="220">
        <v>291.11</v>
      </c>
      <c r="J16" s="220">
        <v>277.65999999999997</v>
      </c>
      <c r="K16" s="220">
        <v>283.44</v>
      </c>
      <c r="L16" s="220">
        <v>299.41000000000003</v>
      </c>
      <c r="M16" s="220">
        <v>300.87</v>
      </c>
      <c r="N16" s="220">
        <v>318.32</v>
      </c>
      <c r="O16" s="220">
        <v>288.12</v>
      </c>
      <c r="P16" s="220">
        <v>301.31</v>
      </c>
      <c r="Q16" s="220">
        <v>3521.2799999999997</v>
      </c>
    </row>
    <row r="17" spans="2:17" s="6" customFormat="1" ht="15">
      <c r="B17" s="212">
        <f t="shared" si="0"/>
        <v>10</v>
      </c>
      <c r="C17" s="213" t="s">
        <v>213</v>
      </c>
      <c r="D17" s="214" t="s">
        <v>43</v>
      </c>
      <c r="E17" s="215">
        <v>-33.140000000000015</v>
      </c>
      <c r="F17" s="215">
        <v>-5.5500000000000114</v>
      </c>
      <c r="G17" s="215">
        <v>20.810000000000002</v>
      </c>
      <c r="H17" s="215">
        <v>7.7199999999999704</v>
      </c>
      <c r="I17" s="215">
        <v>-6.4900000000000091</v>
      </c>
      <c r="J17" s="215">
        <v>-10.340000000000032</v>
      </c>
      <c r="K17" s="215">
        <v>-14.160000000000025</v>
      </c>
      <c r="L17" s="215">
        <v>11.410000000000025</v>
      </c>
      <c r="M17" s="215">
        <v>3.2699999999999818</v>
      </c>
      <c r="N17" s="215">
        <v>20.71999999999997</v>
      </c>
      <c r="O17" s="215">
        <v>9.7200000000000273</v>
      </c>
      <c r="P17" s="215">
        <v>3.7099999999999795</v>
      </c>
      <c r="Q17" s="216">
        <v>7.6799999999998647</v>
      </c>
    </row>
    <row r="18" spans="2:17" ht="16.5">
      <c r="B18" s="116">
        <f t="shared" si="0"/>
        <v>11</v>
      </c>
      <c r="C18" s="106" t="s">
        <v>196</v>
      </c>
      <c r="D18" s="120" t="s">
        <v>200</v>
      </c>
      <c r="E18" s="204">
        <v>3.02</v>
      </c>
      <c r="F18" s="204">
        <v>3.02</v>
      </c>
      <c r="G18" s="204">
        <v>3.02</v>
      </c>
      <c r="H18" s="204">
        <v>3.02</v>
      </c>
      <c r="I18" s="204">
        <v>3.02</v>
      </c>
      <c r="J18" s="204">
        <v>3.02</v>
      </c>
      <c r="K18" s="204">
        <v>3.02</v>
      </c>
      <c r="L18" s="204">
        <v>3.02</v>
      </c>
      <c r="M18" s="204">
        <v>3.02</v>
      </c>
      <c r="N18" s="204">
        <v>3.02</v>
      </c>
      <c r="O18" s="204">
        <v>3.02</v>
      </c>
      <c r="P18" s="204">
        <v>3.02</v>
      </c>
      <c r="Q18" s="121"/>
    </row>
    <row r="19" spans="2:17" ht="16.5">
      <c r="B19" s="116">
        <f t="shared" si="0"/>
        <v>12</v>
      </c>
      <c r="C19" s="106" t="s">
        <v>214</v>
      </c>
      <c r="D19" s="120" t="s">
        <v>201</v>
      </c>
      <c r="E19" s="203">
        <v>34.988999999999997</v>
      </c>
      <c r="F19" s="203">
        <v>34.988999999999997</v>
      </c>
      <c r="G19" s="203">
        <v>34.988999999999997</v>
      </c>
      <c r="H19" s="203">
        <v>34.988999999999997</v>
      </c>
      <c r="I19" s="203">
        <v>34.988999999999997</v>
      </c>
      <c r="J19" s="203">
        <v>34.988999999999997</v>
      </c>
      <c r="K19" s="203">
        <v>34.988999999999997</v>
      </c>
      <c r="L19" s="203">
        <v>34.988999999999997</v>
      </c>
      <c r="M19" s="203">
        <v>34.988999999999997</v>
      </c>
      <c r="N19" s="203">
        <v>34.988999999999997</v>
      </c>
      <c r="O19" s="203">
        <v>34.988999999999997</v>
      </c>
      <c r="P19" s="203">
        <v>34.988999999999997</v>
      </c>
      <c r="Q19" s="119">
        <v>419.86799999999988</v>
      </c>
    </row>
    <row r="20" spans="2:17" ht="16.5">
      <c r="B20" s="116">
        <f t="shared" si="0"/>
        <v>13</v>
      </c>
      <c r="C20" s="106" t="s">
        <v>365</v>
      </c>
      <c r="D20" s="120" t="s">
        <v>200</v>
      </c>
      <c r="E20" s="204">
        <v>3.6819999999999999</v>
      </c>
      <c r="F20" s="204">
        <v>3.41</v>
      </c>
      <c r="G20" s="204">
        <v>3.26</v>
      </c>
      <c r="H20" s="204">
        <v>3.431</v>
      </c>
      <c r="I20" s="204">
        <v>3.4249999999999998</v>
      </c>
      <c r="J20" s="204">
        <v>3.621</v>
      </c>
      <c r="K20" s="204">
        <v>3.5169999999999999</v>
      </c>
      <c r="L20" s="204">
        <v>3.5950000000000002</v>
      </c>
      <c r="M20" s="204">
        <v>3.6080000000000001</v>
      </c>
      <c r="N20" s="204">
        <v>3.4329999999999998</v>
      </c>
      <c r="O20" s="204">
        <v>3.512</v>
      </c>
      <c r="P20" s="204">
        <v>3.66</v>
      </c>
      <c r="Q20" s="119"/>
    </row>
    <row r="21" spans="2:17" ht="16.5">
      <c r="B21" s="116">
        <f t="shared" si="0"/>
        <v>14</v>
      </c>
      <c r="C21" s="106" t="s">
        <v>197</v>
      </c>
      <c r="D21" s="120" t="s">
        <v>201</v>
      </c>
      <c r="E21" s="203">
        <v>34.989166666666669</v>
      </c>
      <c r="F21" s="203">
        <v>34.989166666666669</v>
      </c>
      <c r="G21" s="203">
        <v>34.989166666666662</v>
      </c>
      <c r="H21" s="203">
        <v>34.989166666666677</v>
      </c>
      <c r="I21" s="203">
        <v>34.989166666666677</v>
      </c>
      <c r="J21" s="203">
        <v>34.989166666666648</v>
      </c>
      <c r="K21" s="203">
        <v>34.989166666666677</v>
      </c>
      <c r="L21" s="203">
        <v>34.989166666666677</v>
      </c>
      <c r="M21" s="203">
        <v>34.989166666666677</v>
      </c>
      <c r="N21" s="203">
        <v>34.989166666666677</v>
      </c>
      <c r="O21" s="203">
        <v>34.989166666666677</v>
      </c>
      <c r="P21" s="203">
        <v>34.98916666666662</v>
      </c>
      <c r="Q21" s="119">
        <v>419.87</v>
      </c>
    </row>
    <row r="22" spans="2:17" ht="16.5">
      <c r="B22" s="116">
        <f t="shared" si="0"/>
        <v>15</v>
      </c>
      <c r="C22" s="106" t="s">
        <v>366</v>
      </c>
      <c r="D22" s="120" t="s">
        <v>201</v>
      </c>
      <c r="E22" s="203">
        <v>76.96908861497738</v>
      </c>
      <c r="F22" s="203">
        <v>88.199853289693948</v>
      </c>
      <c r="G22" s="203">
        <v>93.263034976365674</v>
      </c>
      <c r="H22" s="203">
        <v>92.208854213321345</v>
      </c>
      <c r="I22" s="203">
        <v>87.916773931933719</v>
      </c>
      <c r="J22" s="203">
        <v>83.854125795021361</v>
      </c>
      <c r="K22" s="203">
        <v>85.601306299618471</v>
      </c>
      <c r="L22" s="203">
        <v>90.421374939144101</v>
      </c>
      <c r="M22" s="203">
        <v>90.862357700137494</v>
      </c>
      <c r="N22" s="203">
        <v>96.132882977052077</v>
      </c>
      <c r="O22" s="203">
        <v>87.01228461807689</v>
      </c>
      <c r="P22" s="203">
        <v>90.994218450200592</v>
      </c>
      <c r="Q22" s="119">
        <v>1063.4361558055432</v>
      </c>
    </row>
    <row r="23" spans="2:17" ht="16.5">
      <c r="B23" s="116">
        <f t="shared" si="0"/>
        <v>16</v>
      </c>
      <c r="C23" s="106" t="s">
        <v>215</v>
      </c>
      <c r="D23" s="120" t="s">
        <v>201</v>
      </c>
      <c r="E23" s="203">
        <v>16.861079008597457</v>
      </c>
      <c r="F23" s="203">
        <v>11.386943609032869</v>
      </c>
      <c r="G23" s="203">
        <v>7.4023324042974945</v>
      </c>
      <c r="H23" s="203">
        <v>12.533982667086565</v>
      </c>
      <c r="I23" s="203">
        <v>11.793598620302165</v>
      </c>
      <c r="J23" s="203">
        <v>16.699182398609196</v>
      </c>
      <c r="K23" s="203">
        <v>14.093807921734381</v>
      </c>
      <c r="L23" s="203">
        <v>17.230348544079185</v>
      </c>
      <c r="M23" s="203">
        <v>17.695207127</v>
      </c>
      <c r="N23" s="203">
        <v>13.149405993156099</v>
      </c>
      <c r="O23" s="203">
        <v>14.1638188</v>
      </c>
      <c r="P23" s="203">
        <v>19.275555914525771</v>
      </c>
      <c r="Q23" s="119">
        <v>172.2852630084212</v>
      </c>
    </row>
    <row r="24" spans="2:17" ht="16.5">
      <c r="B24" s="116">
        <f t="shared" si="0"/>
        <v>17</v>
      </c>
      <c r="C24" s="106" t="s">
        <v>198</v>
      </c>
      <c r="D24" s="120" t="s">
        <v>201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119">
        <v>13.56</v>
      </c>
    </row>
    <row r="25" spans="2:17" ht="15">
      <c r="B25" s="116">
        <f t="shared" si="0"/>
        <v>18</v>
      </c>
      <c r="C25" s="124" t="s">
        <v>151</v>
      </c>
      <c r="D25" s="120" t="s">
        <v>201</v>
      </c>
      <c r="E25" s="123">
        <v>128.8193342902415</v>
      </c>
      <c r="F25" s="123">
        <v>134.57596356539349</v>
      </c>
      <c r="G25" s="123">
        <v>135.6545340473298</v>
      </c>
      <c r="H25" s="123">
        <v>139.73200354707458</v>
      </c>
      <c r="I25" s="123">
        <v>134.69953921890257</v>
      </c>
      <c r="J25" s="123">
        <v>135.5424748602972</v>
      </c>
      <c r="K25" s="123">
        <v>134.68428088801954</v>
      </c>
      <c r="L25" s="123">
        <v>142.64089014988997</v>
      </c>
      <c r="M25" s="123">
        <v>143.54673149380417</v>
      </c>
      <c r="N25" s="123">
        <v>144.27145563687486</v>
      </c>
      <c r="O25" s="123">
        <v>136.16527008474355</v>
      </c>
      <c r="P25" s="123">
        <v>145.25894103139299</v>
      </c>
      <c r="Q25" s="119">
        <v>1669.1514188139645</v>
      </c>
    </row>
    <row r="26" spans="2:17" ht="15">
      <c r="B26" s="116">
        <f t="shared" si="0"/>
        <v>19</v>
      </c>
      <c r="C26" s="126" t="s">
        <v>199</v>
      </c>
      <c r="D26" s="120"/>
      <c r="E26" s="123"/>
      <c r="F26" s="118"/>
      <c r="G26" s="118"/>
      <c r="H26" s="118"/>
      <c r="I26" s="118"/>
      <c r="J26" s="118"/>
      <c r="K26" s="118"/>
      <c r="L26" s="118"/>
      <c r="M26" s="119"/>
      <c r="N26" s="119"/>
      <c r="O26" s="119"/>
      <c r="P26" s="119"/>
      <c r="Q26" s="125"/>
    </row>
    <row r="27" spans="2:17" ht="33">
      <c r="B27" s="181" t="s">
        <v>465</v>
      </c>
      <c r="C27" s="182" t="s">
        <v>466</v>
      </c>
      <c r="D27" s="183" t="s">
        <v>201</v>
      </c>
      <c r="E27" s="123"/>
      <c r="F27" s="118"/>
      <c r="G27" s="118"/>
      <c r="H27" s="118"/>
      <c r="I27" s="118"/>
      <c r="J27" s="118"/>
      <c r="K27" s="118"/>
      <c r="L27" s="118"/>
      <c r="M27" s="119"/>
      <c r="N27" s="119"/>
      <c r="O27" s="119"/>
      <c r="P27" s="119"/>
      <c r="Q27" s="184">
        <v>-56.85</v>
      </c>
    </row>
    <row r="28" spans="2:17" ht="33">
      <c r="B28" s="181" t="s">
        <v>465</v>
      </c>
      <c r="C28" s="182" t="s">
        <v>467</v>
      </c>
      <c r="D28" s="183" t="s">
        <v>201</v>
      </c>
      <c r="E28" s="123"/>
      <c r="F28" s="118"/>
      <c r="G28" s="118"/>
      <c r="H28" s="118"/>
      <c r="I28" s="118"/>
      <c r="J28" s="118"/>
      <c r="K28" s="118"/>
      <c r="L28" s="118"/>
      <c r="M28" s="119"/>
      <c r="N28" s="119"/>
      <c r="O28" s="119"/>
      <c r="P28" s="119"/>
      <c r="Q28" s="184">
        <v>0</v>
      </c>
    </row>
    <row r="29" spans="2:17" ht="16.5">
      <c r="B29" s="181" t="s">
        <v>465</v>
      </c>
      <c r="C29" s="182" t="s">
        <v>103</v>
      </c>
      <c r="D29" s="183" t="s">
        <v>201</v>
      </c>
      <c r="E29" s="123"/>
      <c r="F29" s="118"/>
      <c r="G29" s="118"/>
      <c r="H29" s="118"/>
      <c r="I29" s="118"/>
      <c r="J29" s="118"/>
      <c r="K29" s="118"/>
      <c r="L29" s="118"/>
      <c r="M29" s="119"/>
      <c r="N29" s="119"/>
      <c r="O29" s="119"/>
      <c r="P29" s="119"/>
      <c r="Q29" s="184">
        <v>1.83</v>
      </c>
    </row>
    <row r="30" spans="2:17" ht="33">
      <c r="B30" s="181" t="s">
        <v>465</v>
      </c>
      <c r="C30" s="182" t="s">
        <v>481</v>
      </c>
      <c r="D30" s="183" t="s">
        <v>201</v>
      </c>
      <c r="E30" s="123"/>
      <c r="F30" s="118"/>
      <c r="G30" s="118"/>
      <c r="H30" s="118"/>
      <c r="I30" s="118"/>
      <c r="J30" s="118"/>
      <c r="K30" s="118"/>
      <c r="L30" s="118"/>
      <c r="M30" s="119"/>
      <c r="N30" s="119"/>
      <c r="O30" s="119"/>
      <c r="P30" s="119"/>
      <c r="Q30" s="184">
        <v>0</v>
      </c>
    </row>
    <row r="31" spans="2:17" ht="15">
      <c r="B31" s="120">
        <f>B26+1</f>
        <v>20</v>
      </c>
      <c r="C31" s="105" t="s">
        <v>166</v>
      </c>
      <c r="D31" s="120" t="s">
        <v>201</v>
      </c>
      <c r="E31" s="131">
        <v>128.8193342902415</v>
      </c>
      <c r="F31" s="131">
        <v>134.57596356539349</v>
      </c>
      <c r="G31" s="131">
        <v>135.6545340473298</v>
      </c>
      <c r="H31" s="131">
        <v>139.73200354707458</v>
      </c>
      <c r="I31" s="131">
        <v>134.69953921890257</v>
      </c>
      <c r="J31" s="131">
        <v>135.5424748602972</v>
      </c>
      <c r="K31" s="131">
        <v>134.68428088801954</v>
      </c>
      <c r="L31" s="131">
        <v>142.64089014988997</v>
      </c>
      <c r="M31" s="131">
        <v>143.54673149380417</v>
      </c>
      <c r="N31" s="131">
        <v>144.27145563687486</v>
      </c>
      <c r="O31" s="131">
        <v>136.16527008474355</v>
      </c>
      <c r="P31" s="131">
        <v>145.25894103139299</v>
      </c>
      <c r="Q31" s="131">
        <v>1614.1314188139645</v>
      </c>
    </row>
    <row r="32" spans="2:17" ht="15">
      <c r="B32" s="120">
        <f>B31+1</f>
        <v>21</v>
      </c>
      <c r="C32" s="105" t="s">
        <v>202</v>
      </c>
      <c r="D32" s="120" t="s">
        <v>201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7"/>
    </row>
  </sheetData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showGridLines="0" view="pageBreakPreview" zoomScale="80" zoomScaleNormal="95" zoomScaleSheetLayoutView="80" workbookViewId="0">
      <selection activeCell="G13" sqref="G13"/>
    </sheetView>
  </sheetViews>
  <sheetFormatPr defaultColWidth="9.28515625" defaultRowHeight="14.25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>
      <c r="C1" s="38"/>
      <c r="D1" s="38"/>
      <c r="E1" s="38"/>
      <c r="F1" s="38"/>
      <c r="G1" s="38"/>
    </row>
    <row r="2" spans="2:7" ht="15">
      <c r="B2" s="243" t="s">
        <v>399</v>
      </c>
      <c r="C2" s="243"/>
      <c r="D2" s="243"/>
      <c r="E2" s="243"/>
      <c r="F2" s="243"/>
      <c r="G2" s="243"/>
    </row>
    <row r="3" spans="2:7" ht="15">
      <c r="B3" s="243" t="s">
        <v>472</v>
      </c>
      <c r="C3" s="243"/>
      <c r="D3" s="243"/>
      <c r="E3" s="243"/>
      <c r="F3" s="243"/>
      <c r="G3" s="243"/>
    </row>
    <row r="4" spans="2:7" ht="15">
      <c r="B4" s="243" t="s">
        <v>375</v>
      </c>
      <c r="C4" s="243"/>
      <c r="D4" s="243"/>
      <c r="E4" s="243"/>
      <c r="F4" s="243"/>
      <c r="G4" s="243"/>
    </row>
    <row r="5" spans="2:7" ht="15">
      <c r="B5" s="37"/>
      <c r="C5" s="37"/>
      <c r="D5" s="37"/>
      <c r="E5" s="37"/>
      <c r="F5" s="37"/>
      <c r="G5" s="37"/>
    </row>
    <row r="6" spans="2:7" ht="15">
      <c r="B6" s="257" t="s">
        <v>66</v>
      </c>
      <c r="C6" s="257"/>
      <c r="D6" s="257"/>
      <c r="E6" s="257"/>
      <c r="F6" s="257"/>
      <c r="G6" s="257"/>
    </row>
    <row r="7" spans="2:7" ht="15">
      <c r="G7" s="35" t="s">
        <v>478</v>
      </c>
    </row>
    <row r="8" spans="2:7" ht="15" customHeight="1">
      <c r="B8" s="258" t="s">
        <v>189</v>
      </c>
      <c r="C8" s="258" t="s">
        <v>16</v>
      </c>
      <c r="D8" s="259" t="s">
        <v>1</v>
      </c>
      <c r="E8" s="254" t="s">
        <v>400</v>
      </c>
      <c r="F8" s="255"/>
      <c r="G8" s="256"/>
    </row>
    <row r="9" spans="2:7" ht="30">
      <c r="B9" s="258"/>
      <c r="C9" s="258"/>
      <c r="D9" s="260"/>
      <c r="E9" s="17" t="s">
        <v>368</v>
      </c>
      <c r="F9" s="17" t="s">
        <v>235</v>
      </c>
      <c r="G9" s="17" t="s">
        <v>204</v>
      </c>
    </row>
    <row r="10" spans="2:7" ht="15">
      <c r="B10" s="258"/>
      <c r="C10" s="258"/>
      <c r="D10" s="261"/>
      <c r="E10" s="17" t="s">
        <v>8</v>
      </c>
      <c r="F10" s="17" t="s">
        <v>10</v>
      </c>
      <c r="G10" s="17" t="s">
        <v>226</v>
      </c>
    </row>
    <row r="11" spans="2:7">
      <c r="B11" s="22">
        <v>1</v>
      </c>
      <c r="C11" s="30" t="s">
        <v>67</v>
      </c>
      <c r="D11" s="30" t="s">
        <v>22</v>
      </c>
      <c r="E11" s="146">
        <v>136.03</v>
      </c>
      <c r="F11" s="165">
        <f>F2.1!D36</f>
        <v>182.32476260468991</v>
      </c>
      <c r="G11" s="165">
        <f>F11</f>
        <v>182.32476260468991</v>
      </c>
    </row>
    <row r="12" spans="2:7">
      <c r="B12" s="22">
        <f>B11+1</f>
        <v>2</v>
      </c>
      <c r="C12" s="39" t="s">
        <v>236</v>
      </c>
      <c r="D12" s="39" t="s">
        <v>23</v>
      </c>
      <c r="E12" s="152">
        <v>4.42</v>
      </c>
      <c r="F12" s="166">
        <f>F2.2!D40</f>
        <v>10.820839878402998</v>
      </c>
      <c r="G12" s="165">
        <f t="shared" ref="G12:G13" si="0">F12</f>
        <v>10.820839878402998</v>
      </c>
    </row>
    <row r="13" spans="2:7">
      <c r="B13" s="22">
        <f>B12+1</f>
        <v>3</v>
      </c>
      <c r="C13" s="30" t="s">
        <v>207</v>
      </c>
      <c r="D13" s="30" t="s">
        <v>265</v>
      </c>
      <c r="E13" s="146">
        <v>29.89</v>
      </c>
      <c r="F13" s="165">
        <f>F2.3!D18</f>
        <v>22.435642606159504</v>
      </c>
      <c r="G13" s="165">
        <f t="shared" si="0"/>
        <v>22.435642606159504</v>
      </c>
    </row>
    <row r="14" spans="2:7" ht="15">
      <c r="B14" s="22">
        <f>B13+1</f>
        <v>4</v>
      </c>
      <c r="C14" s="30" t="s">
        <v>68</v>
      </c>
      <c r="D14" s="30"/>
      <c r="E14" s="167">
        <v>168.64</v>
      </c>
      <c r="F14" s="167">
        <f>ROUND(SUM(F11:F13),2)</f>
        <v>215.58</v>
      </c>
      <c r="G14" s="167">
        <f>ROUND(SUM(G11:G13),2)</f>
        <v>215.58</v>
      </c>
    </row>
    <row r="15" spans="2:7">
      <c r="B15" s="52" t="s">
        <v>237</v>
      </c>
      <c r="C15" s="53"/>
      <c r="D15" s="50"/>
      <c r="E15" s="50"/>
      <c r="F15" s="50"/>
      <c r="G15" s="51"/>
    </row>
    <row r="16" spans="2:7">
      <c r="B16" s="54">
        <v>1</v>
      </c>
      <c r="C16" s="53" t="s">
        <v>238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1.2086614170000001" right="0.70866141732283505" top="0.74803149606299202" bottom="0.74803149606299202" header="0.31496062992126" footer="0.31496062992126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39"/>
  <sheetViews>
    <sheetView showGridLines="0" view="pageBreakPreview" topLeftCell="B1" zoomScale="78" zoomScaleNormal="95" zoomScaleSheetLayoutView="78" workbookViewId="0">
      <selection activeCell="G13" sqref="G13"/>
    </sheetView>
  </sheetViews>
  <sheetFormatPr defaultColWidth="9.28515625" defaultRowHeight="14.25"/>
  <cols>
    <col min="1" max="1" width="6.7109375" style="15" customWidth="1"/>
    <col min="2" max="2" width="7" style="15" customWidth="1"/>
    <col min="3" max="3" width="46" style="15" customWidth="1"/>
    <col min="4" max="4" width="10.7109375" style="15" customWidth="1"/>
    <col min="5" max="16384" width="9.28515625" style="15"/>
  </cols>
  <sheetData>
    <row r="2" spans="2:4" ht="14.25" customHeight="1">
      <c r="B2" s="243" t="s">
        <v>399</v>
      </c>
      <c r="C2" s="243"/>
      <c r="D2" s="243"/>
    </row>
    <row r="3" spans="2:4" ht="14.25" customHeight="1">
      <c r="B3" s="243" t="s">
        <v>472</v>
      </c>
      <c r="C3" s="243"/>
      <c r="D3" s="243"/>
    </row>
    <row r="4" spans="2:4" s="4" customFormat="1" ht="14.25" customHeight="1">
      <c r="B4" s="243" t="s">
        <v>266</v>
      </c>
      <c r="C4" s="243"/>
      <c r="D4" s="243"/>
    </row>
    <row r="5" spans="2:4" s="4" customFormat="1" ht="1.5" customHeight="1">
      <c r="C5" s="43"/>
      <c r="D5" s="44"/>
    </row>
    <row r="6" spans="2:4" ht="15" customHeight="1">
      <c r="D6" s="35" t="s">
        <v>478</v>
      </c>
    </row>
    <row r="7" spans="2:4" ht="28.5" customHeight="1">
      <c r="B7" s="250" t="s">
        <v>2</v>
      </c>
      <c r="C7" s="250" t="s">
        <v>16</v>
      </c>
      <c r="D7" s="17" t="s">
        <v>400</v>
      </c>
    </row>
    <row r="8" spans="2:4" ht="15">
      <c r="B8" s="250"/>
      <c r="C8" s="250"/>
      <c r="D8" s="17" t="s">
        <v>235</v>
      </c>
    </row>
    <row r="9" spans="2:4" ht="15" customHeight="1">
      <c r="B9" s="262"/>
      <c r="C9" s="250"/>
      <c r="D9" s="17" t="s">
        <v>10</v>
      </c>
    </row>
    <row r="10" spans="2:4">
      <c r="B10" s="2">
        <v>1</v>
      </c>
      <c r="C10" s="45" t="s">
        <v>71</v>
      </c>
      <c r="D10" s="143">
        <v>92.903441011542554</v>
      </c>
    </row>
    <row r="11" spans="2:4">
      <c r="B11" s="2">
        <v>2</v>
      </c>
      <c r="C11" s="45" t="s">
        <v>72</v>
      </c>
      <c r="D11" s="143">
        <v>7.9094163446943249</v>
      </c>
    </row>
    <row r="12" spans="2:4">
      <c r="B12" s="2">
        <v>3</v>
      </c>
      <c r="C12" s="3" t="s">
        <v>73</v>
      </c>
      <c r="D12" s="143">
        <v>5.0997025155980307</v>
      </c>
    </row>
    <row r="13" spans="2:4">
      <c r="B13" s="2">
        <v>4</v>
      </c>
      <c r="C13" s="45" t="s">
        <v>74</v>
      </c>
      <c r="D13" s="143">
        <v>1.1162196585717599</v>
      </c>
    </row>
    <row r="14" spans="2:4">
      <c r="B14" s="2">
        <v>5</v>
      </c>
      <c r="C14" s="45" t="s">
        <v>75</v>
      </c>
      <c r="D14" s="143">
        <v>3.5842818946349106E-4</v>
      </c>
    </row>
    <row r="15" spans="2:4">
      <c r="B15" s="2">
        <v>6</v>
      </c>
      <c r="C15" s="3" t="s">
        <v>76</v>
      </c>
      <c r="D15" s="143">
        <v>16.59</v>
      </c>
    </row>
    <row r="16" spans="2:4">
      <c r="B16" s="2">
        <v>7</v>
      </c>
      <c r="C16" s="45" t="s">
        <v>77</v>
      </c>
      <c r="D16" s="143">
        <v>17.398731092218576</v>
      </c>
    </row>
    <row r="17" spans="2:4">
      <c r="B17" s="2">
        <v>8</v>
      </c>
      <c r="C17" s="45" t="s">
        <v>78</v>
      </c>
      <c r="D17" s="143">
        <v>1.3126936461055505</v>
      </c>
    </row>
    <row r="18" spans="2:4">
      <c r="B18" s="2">
        <v>9</v>
      </c>
      <c r="C18" s="45" t="s">
        <v>79</v>
      </c>
      <c r="D18" s="143">
        <v>0</v>
      </c>
    </row>
    <row r="19" spans="2:4">
      <c r="B19" s="2">
        <v>10</v>
      </c>
      <c r="C19" s="45" t="s">
        <v>80</v>
      </c>
      <c r="D19" s="157">
        <v>0</v>
      </c>
    </row>
    <row r="20" spans="2:4">
      <c r="B20" s="2">
        <v>11</v>
      </c>
      <c r="C20" s="45" t="s">
        <v>81</v>
      </c>
      <c r="D20" s="157">
        <v>1.9799616030996723E-3</v>
      </c>
    </row>
    <row r="21" spans="2:4">
      <c r="B21" s="2">
        <v>12</v>
      </c>
      <c r="C21" s="45" t="s">
        <v>82</v>
      </c>
      <c r="D21" s="157">
        <v>2.0940737865056009</v>
      </c>
    </row>
    <row r="22" spans="2:4">
      <c r="B22" s="2">
        <v>13</v>
      </c>
      <c r="C22" s="45" t="s">
        <v>83</v>
      </c>
      <c r="D22" s="157">
        <v>0</v>
      </c>
    </row>
    <row r="23" spans="2:4">
      <c r="B23" s="2">
        <v>14</v>
      </c>
      <c r="C23" s="45" t="s">
        <v>84</v>
      </c>
      <c r="D23" s="157">
        <v>0</v>
      </c>
    </row>
    <row r="24" spans="2:4">
      <c r="B24" s="2">
        <v>15</v>
      </c>
      <c r="C24" s="45" t="s">
        <v>85</v>
      </c>
      <c r="D24" s="143">
        <v>0</v>
      </c>
    </row>
    <row r="25" spans="2:4">
      <c r="B25" s="2">
        <v>16</v>
      </c>
      <c r="C25" s="45" t="s">
        <v>86</v>
      </c>
      <c r="D25" s="158">
        <v>0</v>
      </c>
    </row>
    <row r="26" spans="2:4" ht="15">
      <c r="B26" s="2">
        <v>17</v>
      </c>
      <c r="C26" s="45" t="s">
        <v>87</v>
      </c>
      <c r="D26" s="159">
        <f>SUM(D10:D25)</f>
        <v>144.42661644502894</v>
      </c>
    </row>
    <row r="27" spans="2:4">
      <c r="B27" s="2">
        <v>18</v>
      </c>
      <c r="C27" s="45" t="s">
        <v>88</v>
      </c>
      <c r="D27" s="158">
        <v>0</v>
      </c>
    </row>
    <row r="28" spans="2:4">
      <c r="B28" s="2">
        <f>+B27+0.1</f>
        <v>18.100000000000001</v>
      </c>
      <c r="C28" s="45" t="s">
        <v>89</v>
      </c>
      <c r="D28" s="158">
        <v>10.208146159660961</v>
      </c>
    </row>
    <row r="29" spans="2:4">
      <c r="B29" s="2">
        <f>+B28+0.1</f>
        <v>18.200000000000003</v>
      </c>
      <c r="C29" s="45" t="s">
        <v>90</v>
      </c>
      <c r="D29" s="158">
        <v>0</v>
      </c>
    </row>
    <row r="30" spans="2:4">
      <c r="B30" s="2">
        <f>+B29+0.1</f>
        <v>18.300000000000004</v>
      </c>
      <c r="C30" s="45" t="s">
        <v>91</v>
      </c>
      <c r="D30" s="158">
        <v>0</v>
      </c>
    </row>
    <row r="31" spans="2:4">
      <c r="B31" s="2">
        <f>+B30+0.1</f>
        <v>18.400000000000006</v>
      </c>
      <c r="C31" s="45" t="s">
        <v>92</v>
      </c>
      <c r="D31" s="143">
        <v>27.69</v>
      </c>
    </row>
    <row r="32" spans="2:4">
      <c r="B32" s="2">
        <v>19</v>
      </c>
      <c r="C32" s="49" t="s">
        <v>391</v>
      </c>
      <c r="D32" s="143">
        <v>0</v>
      </c>
    </row>
    <row r="33" spans="2:4">
      <c r="B33" s="2">
        <v>20</v>
      </c>
      <c r="C33" s="45" t="s">
        <v>93</v>
      </c>
      <c r="D33" s="143">
        <v>0</v>
      </c>
    </row>
    <row r="34" spans="2:4" ht="15">
      <c r="B34" s="16">
        <v>21</v>
      </c>
      <c r="C34" s="46" t="s">
        <v>94</v>
      </c>
      <c r="D34" s="145">
        <f>SUM(D26:D33)</f>
        <v>182.32476260468991</v>
      </c>
    </row>
    <row r="35" spans="2:4">
      <c r="B35" s="2">
        <v>22</v>
      </c>
      <c r="C35" s="45" t="s">
        <v>15</v>
      </c>
      <c r="D35" s="143">
        <v>0</v>
      </c>
    </row>
    <row r="36" spans="2:4" ht="15">
      <c r="B36" s="16">
        <v>23</v>
      </c>
      <c r="C36" s="21" t="s">
        <v>95</v>
      </c>
      <c r="D36" s="132">
        <f>D34-D35</f>
        <v>182.32476260468991</v>
      </c>
    </row>
    <row r="38" spans="2:4" ht="15">
      <c r="B38" s="47"/>
      <c r="D38" s="168"/>
    </row>
    <row r="39" spans="2:4">
      <c r="B39" s="48"/>
    </row>
  </sheetData>
  <mergeCells count="5">
    <mergeCell ref="B7:B9"/>
    <mergeCell ref="C7:C9"/>
    <mergeCell ref="B4:D4"/>
    <mergeCell ref="B2:D2"/>
    <mergeCell ref="B3:D3"/>
  </mergeCells>
  <pageMargins left="1.25" right="0.25" top="0.25" bottom="0.25" header="0.5" footer="0.5"/>
  <pageSetup paperSize="9" scale="95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D40"/>
  <sheetViews>
    <sheetView showGridLines="0" view="pageBreakPreview" zoomScaleSheetLayoutView="100" workbookViewId="0">
      <selection activeCell="G13" sqref="G13"/>
    </sheetView>
  </sheetViews>
  <sheetFormatPr defaultColWidth="9.28515625" defaultRowHeight="14.25"/>
  <cols>
    <col min="1" max="1" width="2" style="15" customWidth="1"/>
    <col min="2" max="2" width="7" style="15" customWidth="1"/>
    <col min="3" max="3" width="50.28515625" style="15" customWidth="1"/>
    <col min="4" max="4" width="17" style="15" customWidth="1"/>
    <col min="5" max="16384" width="9.28515625" style="15"/>
  </cols>
  <sheetData>
    <row r="2" spans="2:4" ht="14.25" customHeight="1">
      <c r="B2" s="243" t="s">
        <v>399</v>
      </c>
      <c r="C2" s="243"/>
      <c r="D2" s="243"/>
    </row>
    <row r="3" spans="2:4" ht="14.25" customHeight="1">
      <c r="B3" s="243" t="s">
        <v>472</v>
      </c>
      <c r="C3" s="243"/>
      <c r="D3" s="243"/>
    </row>
    <row r="4" spans="2:4" s="4" customFormat="1" ht="15">
      <c r="B4" s="243" t="s">
        <v>403</v>
      </c>
      <c r="C4" s="243"/>
      <c r="D4" s="243"/>
    </row>
    <row r="6" spans="2:4" ht="15">
      <c r="D6" s="35" t="s">
        <v>478</v>
      </c>
    </row>
    <row r="7" spans="2:4" ht="12.75" customHeight="1">
      <c r="B7" s="252" t="s">
        <v>189</v>
      </c>
      <c r="C7" s="250" t="s">
        <v>16</v>
      </c>
      <c r="D7" s="17" t="s">
        <v>400</v>
      </c>
    </row>
    <row r="8" spans="2:4" ht="15">
      <c r="B8" s="252"/>
      <c r="C8" s="250"/>
      <c r="D8" s="17" t="s">
        <v>235</v>
      </c>
    </row>
    <row r="9" spans="2:4" ht="15" customHeight="1">
      <c r="B9" s="252"/>
      <c r="C9" s="250"/>
      <c r="D9" s="17" t="s">
        <v>10</v>
      </c>
    </row>
    <row r="10" spans="2:4">
      <c r="B10" s="3">
        <v>1</v>
      </c>
      <c r="C10" s="55" t="s">
        <v>96</v>
      </c>
      <c r="D10" s="143">
        <v>0.38732107367183433</v>
      </c>
    </row>
    <row r="11" spans="2:4">
      <c r="B11" s="3">
        <v>2</v>
      </c>
      <c r="C11" s="56" t="s">
        <v>97</v>
      </c>
      <c r="D11" s="143">
        <v>2.6245886664298785</v>
      </c>
    </row>
    <row r="12" spans="2:4">
      <c r="B12" s="3">
        <v>3</v>
      </c>
      <c r="C12" s="56" t="s">
        <v>98</v>
      </c>
      <c r="D12" s="143">
        <v>0.14246401819065921</v>
      </c>
    </row>
    <row r="13" spans="2:4">
      <c r="B13" s="3">
        <v>4</v>
      </c>
      <c r="C13" s="56" t="s">
        <v>99</v>
      </c>
      <c r="D13" s="143">
        <v>0.11469078186197343</v>
      </c>
    </row>
    <row r="14" spans="2:4">
      <c r="B14" s="3">
        <v>5</v>
      </c>
      <c r="C14" s="56" t="s">
        <v>100</v>
      </c>
      <c r="D14" s="143">
        <v>4.0738470823571099E-2</v>
      </c>
    </row>
    <row r="15" spans="2:4">
      <c r="B15" s="3">
        <v>6</v>
      </c>
      <c r="C15" s="56" t="s">
        <v>101</v>
      </c>
      <c r="D15" s="143">
        <v>8.4922745537222441E-2</v>
      </c>
    </row>
    <row r="16" spans="2:4">
      <c r="B16" s="3">
        <v>7</v>
      </c>
      <c r="C16" s="56" t="s">
        <v>102</v>
      </c>
      <c r="D16" s="143">
        <v>1.2775516828173705</v>
      </c>
    </row>
    <row r="17" spans="2:4">
      <c r="B17" s="3">
        <v>8</v>
      </c>
      <c r="C17" s="56" t="s">
        <v>103</v>
      </c>
      <c r="D17" s="143">
        <v>1.6927220342746474E-3</v>
      </c>
    </row>
    <row r="18" spans="2:4">
      <c r="B18" s="3">
        <v>9</v>
      </c>
      <c r="C18" s="56" t="s">
        <v>104</v>
      </c>
      <c r="D18" s="143">
        <v>6.6243710737888692E-2</v>
      </c>
    </row>
    <row r="19" spans="2:4">
      <c r="B19" s="3">
        <v>10</v>
      </c>
      <c r="C19" s="56" t="s">
        <v>105</v>
      </c>
      <c r="D19" s="143">
        <v>1.8092520577432516E-2</v>
      </c>
    </row>
    <row r="20" spans="2:4">
      <c r="B20" s="3">
        <v>11</v>
      </c>
      <c r="C20" s="56" t="s">
        <v>106</v>
      </c>
      <c r="D20" s="143">
        <v>8.3987037738446325E-4</v>
      </c>
    </row>
    <row r="21" spans="2:4">
      <c r="B21" s="3">
        <v>12</v>
      </c>
      <c r="C21" s="56" t="s">
        <v>107</v>
      </c>
      <c r="D21" s="143">
        <v>0</v>
      </c>
    </row>
    <row r="22" spans="2:4">
      <c r="B22" s="3">
        <v>13</v>
      </c>
      <c r="C22" s="56" t="s">
        <v>108</v>
      </c>
      <c r="D22" s="143">
        <v>1.696896214913091E-2</v>
      </c>
    </row>
    <row r="23" spans="2:4">
      <c r="B23" s="3">
        <v>14</v>
      </c>
      <c r="C23" s="56" t="s">
        <v>109</v>
      </c>
      <c r="D23" s="143">
        <v>7.4222031261851701E-2</v>
      </c>
    </row>
    <row r="24" spans="2:4">
      <c r="B24" s="3">
        <v>15</v>
      </c>
      <c r="C24" s="56" t="s">
        <v>110</v>
      </c>
      <c r="D24" s="143">
        <v>0</v>
      </c>
    </row>
    <row r="25" spans="2:4">
      <c r="B25" s="3">
        <v>16</v>
      </c>
      <c r="C25" s="55" t="s">
        <v>111</v>
      </c>
      <c r="D25" s="143">
        <v>0</v>
      </c>
    </row>
    <row r="26" spans="2:4">
      <c r="B26" s="3">
        <v>17</v>
      </c>
      <c r="C26" s="55" t="s">
        <v>112</v>
      </c>
      <c r="D26" s="143">
        <v>0</v>
      </c>
    </row>
    <row r="27" spans="2:4">
      <c r="B27" s="3">
        <v>18</v>
      </c>
      <c r="C27" s="56" t="s">
        <v>113</v>
      </c>
      <c r="D27" s="143">
        <v>2.9160060660636582E-2</v>
      </c>
    </row>
    <row r="28" spans="2:4">
      <c r="B28" s="3">
        <v>19</v>
      </c>
      <c r="C28" s="56" t="s">
        <v>114</v>
      </c>
      <c r="D28" s="143">
        <v>1.188896681084961</v>
      </c>
    </row>
    <row r="29" spans="2:4">
      <c r="B29" s="3">
        <v>20</v>
      </c>
      <c r="C29" s="56" t="s">
        <v>115</v>
      </c>
      <c r="D29" s="143">
        <v>0</v>
      </c>
    </row>
    <row r="30" spans="2:4">
      <c r="B30" s="3">
        <v>21</v>
      </c>
      <c r="C30" s="56" t="s">
        <v>116</v>
      </c>
      <c r="D30" s="143">
        <v>0</v>
      </c>
    </row>
    <row r="31" spans="2:4">
      <c r="B31" s="3">
        <v>22</v>
      </c>
      <c r="C31" s="56" t="s">
        <v>117</v>
      </c>
      <c r="D31" s="143">
        <v>1.6791718181818183E-2</v>
      </c>
    </row>
    <row r="32" spans="2:4">
      <c r="B32" s="3">
        <v>23</v>
      </c>
      <c r="C32" s="56" t="s">
        <v>118</v>
      </c>
      <c r="D32" s="143">
        <v>0</v>
      </c>
    </row>
    <row r="33" spans="2:4">
      <c r="B33" s="3">
        <v>24</v>
      </c>
      <c r="C33" s="56" t="s">
        <v>119</v>
      </c>
      <c r="D33" s="143">
        <v>4.3156455778180051E-2</v>
      </c>
    </row>
    <row r="34" spans="2:4">
      <c r="B34" s="3">
        <v>25</v>
      </c>
      <c r="C34" s="56" t="s">
        <v>120</v>
      </c>
      <c r="D34" s="143">
        <v>0</v>
      </c>
    </row>
    <row r="35" spans="2:4">
      <c r="B35" s="3">
        <v>26</v>
      </c>
      <c r="C35" s="56" t="s">
        <v>121</v>
      </c>
      <c r="D35" s="143">
        <v>0</v>
      </c>
    </row>
    <row r="36" spans="2:4">
      <c r="B36" s="3">
        <v>27</v>
      </c>
      <c r="C36" s="56" t="s">
        <v>122</v>
      </c>
      <c r="D36" s="143">
        <v>0</v>
      </c>
    </row>
    <row r="37" spans="2:4">
      <c r="B37" s="3">
        <v>28</v>
      </c>
      <c r="C37" s="56" t="s">
        <v>93</v>
      </c>
      <c r="D37" s="143">
        <v>4.6924977062269289</v>
      </c>
    </row>
    <row r="38" spans="2:4" ht="15">
      <c r="B38" s="3">
        <v>29</v>
      </c>
      <c r="C38" s="57" t="s">
        <v>123</v>
      </c>
      <c r="D38" s="132">
        <f>SUM(D10:D37)</f>
        <v>10.820839878402998</v>
      </c>
    </row>
    <row r="39" spans="2:4">
      <c r="B39" s="3">
        <v>30</v>
      </c>
      <c r="C39" s="45" t="s">
        <v>15</v>
      </c>
      <c r="D39" s="143"/>
    </row>
    <row r="40" spans="2:4" ht="15">
      <c r="B40" s="3">
        <v>31</v>
      </c>
      <c r="C40" s="21" t="s">
        <v>124</v>
      </c>
      <c r="D40" s="132">
        <f>D38-D39</f>
        <v>10.820839878402998</v>
      </c>
    </row>
  </sheetData>
  <mergeCells count="5">
    <mergeCell ref="B2:D2"/>
    <mergeCell ref="B7:B9"/>
    <mergeCell ref="C7:C9"/>
    <mergeCell ref="B4:D4"/>
    <mergeCell ref="B3:D3"/>
  </mergeCells>
  <pageMargins left="1.5" right="0.75" top="0.25" bottom="0.25" header="0.5" footer="0.5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2"/>
  <sheetViews>
    <sheetView showGridLines="0" view="pageBreakPreview" zoomScaleNormal="98" zoomScaleSheetLayoutView="100" workbookViewId="0">
      <selection activeCell="G13" sqref="G13"/>
    </sheetView>
  </sheetViews>
  <sheetFormatPr defaultColWidth="9.28515625" defaultRowHeight="14.25"/>
  <cols>
    <col min="1" max="1" width="4.5703125" style="15" customWidth="1"/>
    <col min="2" max="2" width="8.7109375" style="58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>
      <c r="B2" s="243" t="s">
        <v>399</v>
      </c>
      <c r="C2" s="243"/>
      <c r="D2" s="243"/>
    </row>
    <row r="3" spans="2:4" ht="14.25" customHeight="1">
      <c r="B3" s="243" t="s">
        <v>472</v>
      </c>
      <c r="C3" s="243"/>
      <c r="D3" s="243"/>
    </row>
    <row r="4" spans="2:4" s="4" customFormat="1" ht="14.25" customHeight="1">
      <c r="B4" s="243" t="s">
        <v>267</v>
      </c>
      <c r="C4" s="243"/>
      <c r="D4" s="243"/>
    </row>
    <row r="6" spans="2:4" ht="15">
      <c r="D6" s="38" t="s">
        <v>478</v>
      </c>
    </row>
    <row r="7" spans="2:4" ht="12.75" customHeight="1">
      <c r="B7" s="252" t="s">
        <v>189</v>
      </c>
      <c r="C7" s="250" t="s">
        <v>16</v>
      </c>
      <c r="D7" s="17" t="s">
        <v>400</v>
      </c>
    </row>
    <row r="8" spans="2:4" ht="15">
      <c r="B8" s="252"/>
      <c r="C8" s="250"/>
      <c r="D8" s="17" t="s">
        <v>235</v>
      </c>
    </row>
    <row r="9" spans="2:4" ht="15" customHeight="1">
      <c r="B9" s="252"/>
      <c r="C9" s="250"/>
      <c r="D9" s="17" t="s">
        <v>10</v>
      </c>
    </row>
    <row r="10" spans="2:4">
      <c r="B10" s="2">
        <v>1</v>
      </c>
      <c r="C10" s="56" t="s">
        <v>125</v>
      </c>
      <c r="D10" s="143">
        <v>17.604065060762469</v>
      </c>
    </row>
    <row r="11" spans="2:4">
      <c r="B11" s="2">
        <v>2</v>
      </c>
      <c r="C11" s="56" t="s">
        <v>126</v>
      </c>
      <c r="D11" s="143">
        <v>0</v>
      </c>
    </row>
    <row r="12" spans="2:4">
      <c r="B12" s="2">
        <v>3</v>
      </c>
      <c r="C12" s="56" t="s">
        <v>127</v>
      </c>
      <c r="D12" s="143">
        <v>3.8257651214593937</v>
      </c>
    </row>
    <row r="13" spans="2:4">
      <c r="B13" s="2">
        <v>4</v>
      </c>
      <c r="C13" s="56" t="s">
        <v>128</v>
      </c>
      <c r="D13" s="143">
        <v>0</v>
      </c>
    </row>
    <row r="14" spans="2:4">
      <c r="B14" s="2">
        <v>5</v>
      </c>
      <c r="C14" s="56" t="s">
        <v>129</v>
      </c>
      <c r="D14" s="143">
        <v>0.74736457896708131</v>
      </c>
    </row>
    <row r="15" spans="2:4">
      <c r="B15" s="2">
        <v>6</v>
      </c>
      <c r="C15" s="56" t="s">
        <v>130</v>
      </c>
      <c r="D15" s="143">
        <v>1.8269545783823622E-2</v>
      </c>
    </row>
    <row r="16" spans="2:4">
      <c r="B16" s="2">
        <v>7</v>
      </c>
      <c r="C16" s="56" t="s">
        <v>131</v>
      </c>
      <c r="D16" s="143">
        <v>0</v>
      </c>
    </row>
    <row r="17" spans="2:4">
      <c r="B17" s="2">
        <v>8</v>
      </c>
      <c r="C17" s="56" t="s">
        <v>132</v>
      </c>
      <c r="D17" s="143">
        <v>0.24017829918673755</v>
      </c>
    </row>
    <row r="18" spans="2:4" ht="15">
      <c r="B18" s="2">
        <v>9</v>
      </c>
      <c r="C18" s="57" t="s">
        <v>133</v>
      </c>
      <c r="D18" s="132">
        <f>SUM(D10:D17)</f>
        <v>22.435642606159504</v>
      </c>
    </row>
    <row r="19" spans="2:4">
      <c r="B19" s="2"/>
      <c r="C19" s="55"/>
      <c r="D19" s="3"/>
    </row>
    <row r="20" spans="2:4" ht="15">
      <c r="B20" s="2">
        <v>10</v>
      </c>
      <c r="C20" s="59" t="s">
        <v>134</v>
      </c>
      <c r="D20" s="132">
        <f>'F4'!F22</f>
        <v>2548.83</v>
      </c>
    </row>
    <row r="21" spans="2:4" ht="28.5">
      <c r="B21" s="2">
        <v>11</v>
      </c>
      <c r="C21" s="59" t="s">
        <v>135</v>
      </c>
      <c r="D21" s="144">
        <f>IFERROR(D18/D20,0)</f>
        <v>8.8023299341892184E-3</v>
      </c>
    </row>
    <row r="22" spans="2:4">
      <c r="B22" s="2"/>
      <c r="C22" s="55"/>
      <c r="D22" s="3"/>
    </row>
  </sheetData>
  <mergeCells count="5">
    <mergeCell ref="B2:D2"/>
    <mergeCell ref="B7:B9"/>
    <mergeCell ref="C7:C9"/>
    <mergeCell ref="B4:D4"/>
    <mergeCell ref="B3:D3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6"/>
  <sheetViews>
    <sheetView view="pageBreakPreview" zoomScaleNormal="118" zoomScaleSheetLayoutView="100" workbookViewId="0">
      <selection activeCell="G13" sqref="G1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>
      <c r="B1" s="60"/>
    </row>
    <row r="2" spans="2:6" ht="14.25" customHeight="1">
      <c r="B2" s="243" t="s">
        <v>399</v>
      </c>
      <c r="C2" s="243"/>
      <c r="D2" s="243"/>
      <c r="E2" s="243"/>
      <c r="F2" s="243"/>
    </row>
    <row r="3" spans="2:6" ht="14.25" customHeight="1">
      <c r="B3" s="243" t="s">
        <v>472</v>
      </c>
      <c r="C3" s="243"/>
      <c r="D3" s="243"/>
      <c r="E3" s="243"/>
      <c r="F3" s="243"/>
    </row>
    <row r="4" spans="2:6" ht="14.25" customHeight="1">
      <c r="B4" s="243" t="s">
        <v>268</v>
      </c>
      <c r="C4" s="243"/>
      <c r="D4" s="243"/>
      <c r="E4" s="243"/>
      <c r="F4" s="243"/>
    </row>
    <row r="5" spans="2:6" ht="15">
      <c r="B5" s="38"/>
      <c r="C5" s="61"/>
      <c r="D5" s="61"/>
      <c r="E5" s="61"/>
      <c r="F5" s="61"/>
    </row>
    <row r="6" spans="2:6">
      <c r="F6" s="238" t="s">
        <v>479</v>
      </c>
    </row>
    <row r="7" spans="2:6" s="15" customFormat="1" ht="15" customHeight="1">
      <c r="B7" s="247" t="s">
        <v>189</v>
      </c>
      <c r="C7" s="250" t="s">
        <v>16</v>
      </c>
      <c r="D7" s="254" t="s">
        <v>400</v>
      </c>
      <c r="E7" s="255"/>
      <c r="F7" s="256"/>
    </row>
    <row r="8" spans="2:6" s="15" customFormat="1" ht="45">
      <c r="B8" s="248"/>
      <c r="C8" s="250"/>
      <c r="D8" s="17" t="s">
        <v>368</v>
      </c>
      <c r="E8" s="17" t="s">
        <v>235</v>
      </c>
      <c r="F8" s="17" t="s">
        <v>204</v>
      </c>
    </row>
    <row r="9" spans="2:6" s="15" customFormat="1" ht="15">
      <c r="B9" s="249"/>
      <c r="C9" s="251"/>
      <c r="D9" s="17" t="s">
        <v>8</v>
      </c>
      <c r="E9" s="17" t="s">
        <v>10</v>
      </c>
      <c r="F9" s="17" t="s">
        <v>226</v>
      </c>
    </row>
    <row r="10" spans="2:6" s="5" customFormat="1">
      <c r="B10" s="63">
        <v>1</v>
      </c>
      <c r="C10" s="28" t="s">
        <v>239</v>
      </c>
      <c r="D10" s="2"/>
      <c r="E10" s="28"/>
      <c r="F10" s="28"/>
    </row>
    <row r="11" spans="2:6" s="5" customFormat="1">
      <c r="B11" s="22">
        <v>2</v>
      </c>
      <c r="C11" s="28" t="s">
        <v>271</v>
      </c>
      <c r="D11" s="2"/>
      <c r="E11" s="128">
        <f>F3.1!G12</f>
        <v>0.14000000000000001</v>
      </c>
      <c r="F11" s="128">
        <f>E11</f>
        <v>0.14000000000000001</v>
      </c>
    </row>
    <row r="12" spans="2:6" s="5" customFormat="1" ht="15">
      <c r="B12" s="22">
        <v>3</v>
      </c>
      <c r="C12" s="30" t="s">
        <v>221</v>
      </c>
      <c r="D12" s="141"/>
      <c r="E12" s="147">
        <f>F3.1!H12</f>
        <v>0.14000000000000001</v>
      </c>
      <c r="F12" s="147">
        <f>E12</f>
        <v>0.14000000000000001</v>
      </c>
    </row>
    <row r="13" spans="2:6" s="5" customFormat="1" ht="15">
      <c r="B13" s="22">
        <v>4</v>
      </c>
      <c r="C13" s="28" t="s">
        <v>240</v>
      </c>
      <c r="D13" s="142">
        <f>D10+D11-D12</f>
        <v>0</v>
      </c>
      <c r="E13" s="142">
        <f>E10+E11-E12</f>
        <v>0</v>
      </c>
      <c r="F13" s="142">
        <f>F10+F11-F12</f>
        <v>0</v>
      </c>
    </row>
    <row r="14" spans="2:6" s="34" customFormat="1" ht="15">
      <c r="B14" s="64"/>
      <c r="C14" s="52"/>
      <c r="D14" s="62"/>
      <c r="E14" s="62"/>
      <c r="F14" s="62"/>
    </row>
    <row r="16" spans="2:6">
      <c r="B16" s="65"/>
    </row>
  </sheetData>
  <mergeCells count="6">
    <mergeCell ref="B2:F2"/>
    <mergeCell ref="B7:B9"/>
    <mergeCell ref="C7:C9"/>
    <mergeCell ref="D7:F7"/>
    <mergeCell ref="B4:F4"/>
    <mergeCell ref="B3:F3"/>
  </mergeCells>
  <pageMargins left="0.27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topLeftCell="A2" zoomScale="72" zoomScaleNormal="106" zoomScaleSheetLayoutView="72" workbookViewId="0">
      <selection activeCell="G13" sqref="G1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19.7109375" style="5" customWidth="1"/>
    <col min="5" max="5" width="29.28515625" style="5" customWidth="1"/>
    <col min="6" max="7" width="22" style="5" customWidth="1"/>
    <col min="8" max="8" width="17.7109375" style="5" customWidth="1"/>
    <col min="9" max="9" width="35" style="5" customWidth="1"/>
    <col min="10" max="10" width="17.140625" style="5" customWidth="1"/>
    <col min="11" max="11" width="32.140625" style="5" customWidth="1"/>
    <col min="12" max="12" width="19.42578125" style="5" customWidth="1"/>
    <col min="13" max="13" width="13.28515625" style="5" bestFit="1" customWidth="1"/>
    <col min="14" max="16384" width="9.28515625" style="5"/>
  </cols>
  <sheetData>
    <row r="1" spans="2:13" ht="15">
      <c r="B1" s="26"/>
    </row>
    <row r="2" spans="2:13" ht="15">
      <c r="B2" s="243" t="s">
        <v>399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2:13" ht="15">
      <c r="B3" s="243" t="s">
        <v>472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2:13" ht="15">
      <c r="B4" s="243" t="s">
        <v>269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</row>
    <row r="5" spans="2:13" ht="15">
      <c r="K5" s="37"/>
      <c r="L5" s="35" t="s">
        <v>478</v>
      </c>
    </row>
    <row r="6" spans="2:13" ht="77.25" customHeight="1">
      <c r="B6" s="17" t="s">
        <v>189</v>
      </c>
      <c r="C6" s="25" t="s">
        <v>241</v>
      </c>
      <c r="D6" s="32" t="s">
        <v>243</v>
      </c>
      <c r="E6" s="25" t="s">
        <v>242</v>
      </c>
      <c r="F6" s="32" t="s">
        <v>245</v>
      </c>
      <c r="G6" s="32" t="s">
        <v>248</v>
      </c>
      <c r="H6" s="32" t="s">
        <v>249</v>
      </c>
      <c r="I6" s="32" t="s">
        <v>262</v>
      </c>
      <c r="J6" s="25" t="s">
        <v>244</v>
      </c>
      <c r="K6" s="32" t="s">
        <v>250</v>
      </c>
      <c r="L6" s="32" t="s">
        <v>182</v>
      </c>
      <c r="M6" s="27"/>
    </row>
    <row r="7" spans="2:13" s="34" customFormat="1" ht="15">
      <c r="B7" s="22"/>
      <c r="C7" s="32" t="s">
        <v>400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>
      <c r="B8" s="22">
        <v>1</v>
      </c>
      <c r="C8" s="22"/>
      <c r="D8" s="28"/>
      <c r="E8" s="28"/>
      <c r="F8" s="140"/>
      <c r="G8" s="140"/>
      <c r="H8" s="140"/>
      <c r="I8" s="28"/>
      <c r="J8" s="28"/>
      <c r="K8" s="28"/>
      <c r="L8" s="28"/>
    </row>
    <row r="9" spans="2:13">
      <c r="B9" s="22">
        <v>2</v>
      </c>
      <c r="C9" s="22"/>
      <c r="D9" s="28"/>
      <c r="E9" s="28"/>
      <c r="F9" s="140"/>
      <c r="G9" s="140"/>
      <c r="H9" s="140"/>
      <c r="I9" s="28"/>
      <c r="J9" s="28"/>
      <c r="K9" s="28"/>
      <c r="L9" s="28"/>
    </row>
    <row r="10" spans="2:13">
      <c r="B10" s="22">
        <v>3</v>
      </c>
      <c r="C10" s="22"/>
      <c r="D10" s="28"/>
      <c r="E10" s="140"/>
      <c r="F10" s="140"/>
      <c r="G10" s="140"/>
      <c r="H10" s="140"/>
      <c r="I10" s="28"/>
      <c r="J10" s="28"/>
      <c r="K10" s="28"/>
      <c r="L10" s="28"/>
    </row>
    <row r="11" spans="2:13">
      <c r="B11" s="28"/>
      <c r="C11" s="28" t="s">
        <v>7</v>
      </c>
      <c r="D11" s="28"/>
      <c r="E11" s="28"/>
      <c r="F11" s="28"/>
      <c r="G11" s="28">
        <v>0.14000000000000001</v>
      </c>
      <c r="H11" s="28">
        <v>0.14000000000000001</v>
      </c>
      <c r="I11" s="28"/>
      <c r="J11" s="28"/>
      <c r="K11" s="28"/>
      <c r="L11" s="28"/>
    </row>
    <row r="12" spans="2:13" ht="15">
      <c r="B12" s="28"/>
      <c r="C12" s="25" t="s">
        <v>137</v>
      </c>
      <c r="D12" s="150"/>
      <c r="E12" s="140"/>
      <c r="F12" s="133">
        <f>SUM(F8:F11)</f>
        <v>0</v>
      </c>
      <c r="G12" s="133">
        <f>ROUND(SUM(G8:G11),2)</f>
        <v>0.14000000000000001</v>
      </c>
      <c r="H12" s="133">
        <f>ROUND(SUM(H8:H11),2)</f>
        <v>0.14000000000000001</v>
      </c>
      <c r="I12" s="28"/>
      <c r="J12" s="28"/>
      <c r="K12" s="28"/>
      <c r="L12" s="28"/>
    </row>
    <row r="13" spans="2:13">
      <c r="B13" s="64" t="s">
        <v>246</v>
      </c>
      <c r="C13" s="53" t="s">
        <v>247</v>
      </c>
    </row>
  </sheetData>
  <mergeCells count="3">
    <mergeCell ref="B3:L3"/>
    <mergeCell ref="B4:L4"/>
    <mergeCell ref="B2:L2"/>
  </mergeCells>
  <pageMargins left="0.27" right="0.25" top="1" bottom="1" header="0.25" footer="0.25"/>
  <pageSetup paperSize="9" scale="5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1"/>
  <sheetViews>
    <sheetView showGridLines="0" view="pageBreakPreview" zoomScaleSheetLayoutView="100" workbookViewId="0">
      <selection activeCell="G13" sqref="G13"/>
    </sheetView>
  </sheetViews>
  <sheetFormatPr defaultColWidth="9.28515625" defaultRowHeight="14.25"/>
  <cols>
    <col min="1" max="2" width="9.28515625" style="100"/>
    <col min="3" max="3" width="42" style="100" customWidth="1"/>
    <col min="4" max="4" width="16.28515625" style="100" customWidth="1"/>
    <col min="5" max="16384" width="9.28515625" style="100"/>
  </cols>
  <sheetData>
    <row r="2" spans="2:4" ht="14.25" customHeight="1">
      <c r="B2" s="243" t="s">
        <v>399</v>
      </c>
      <c r="C2" s="243"/>
      <c r="D2" s="243"/>
    </row>
    <row r="3" spans="2:4" ht="14.25" customHeight="1">
      <c r="B3" s="243" t="s">
        <v>472</v>
      </c>
      <c r="C3" s="243"/>
      <c r="D3" s="243"/>
    </row>
    <row r="4" spans="2:4" ht="14.25" customHeight="1">
      <c r="B4" s="243" t="s">
        <v>296</v>
      </c>
      <c r="C4" s="243"/>
      <c r="D4" s="243"/>
    </row>
    <row r="5" spans="2:4" ht="15">
      <c r="D5" s="35" t="s">
        <v>478</v>
      </c>
    </row>
    <row r="6" spans="2:4" ht="15" customHeight="1">
      <c r="B6" s="252" t="s">
        <v>189</v>
      </c>
      <c r="C6" s="263" t="s">
        <v>16</v>
      </c>
      <c r="D6" s="252" t="s">
        <v>400</v>
      </c>
    </row>
    <row r="7" spans="2:4">
      <c r="B7" s="252"/>
      <c r="C7" s="263"/>
      <c r="D7" s="252"/>
    </row>
    <row r="8" spans="2:4" ht="15">
      <c r="B8" s="252"/>
      <c r="C8" s="263"/>
      <c r="D8" s="103" t="s">
        <v>3</v>
      </c>
    </row>
    <row r="9" spans="2:4" ht="15">
      <c r="B9" s="104">
        <v>1</v>
      </c>
      <c r="C9" s="29" t="s">
        <v>297</v>
      </c>
      <c r="D9" s="130">
        <f>F3.1!H12</f>
        <v>0.14000000000000001</v>
      </c>
    </row>
    <row r="10" spans="2:4">
      <c r="B10" s="29"/>
      <c r="C10" s="29"/>
      <c r="D10" s="119"/>
    </row>
    <row r="11" spans="2:4" ht="15">
      <c r="B11" s="104">
        <v>2</v>
      </c>
      <c r="C11" s="105" t="s">
        <v>183</v>
      </c>
      <c r="D11" s="119"/>
    </row>
    <row r="12" spans="2:4">
      <c r="B12" s="29"/>
      <c r="C12" s="29" t="s">
        <v>188</v>
      </c>
      <c r="D12" s="119"/>
    </row>
    <row r="13" spans="2:4">
      <c r="B13" s="29"/>
      <c r="C13" s="29" t="s">
        <v>187</v>
      </c>
      <c r="D13" s="119"/>
    </row>
    <row r="14" spans="2:4">
      <c r="B14" s="29"/>
      <c r="C14" s="29" t="s">
        <v>7</v>
      </c>
      <c r="D14" s="119"/>
    </row>
    <row r="15" spans="2:4" ht="15">
      <c r="B15" s="29"/>
      <c r="C15" s="105" t="s">
        <v>181</v>
      </c>
      <c r="D15" s="130">
        <f>SUM(D12:D14)</f>
        <v>0</v>
      </c>
    </row>
    <row r="16" spans="2:4">
      <c r="B16" s="29"/>
      <c r="C16" s="29"/>
      <c r="D16" s="119"/>
    </row>
    <row r="17" spans="2:4">
      <c r="B17" s="104">
        <v>3</v>
      </c>
      <c r="C17" s="29" t="s">
        <v>0</v>
      </c>
      <c r="D17" s="119"/>
    </row>
    <row r="18" spans="2:4">
      <c r="B18" s="104">
        <v>4</v>
      </c>
      <c r="C18" s="29" t="s">
        <v>184</v>
      </c>
      <c r="D18" s="119">
        <f>D9</f>
        <v>0.14000000000000001</v>
      </c>
    </row>
    <row r="19" spans="2:4">
      <c r="B19" s="104">
        <v>5</v>
      </c>
      <c r="C19" s="29" t="s">
        <v>298</v>
      </c>
      <c r="D19" s="119"/>
    </row>
    <row r="20" spans="2:4" ht="15">
      <c r="B20" s="29"/>
      <c r="C20" s="29"/>
      <c r="D20" s="125"/>
    </row>
    <row r="21" spans="2:4" ht="15">
      <c r="B21" s="104">
        <v>6</v>
      </c>
      <c r="C21" s="105" t="s">
        <v>299</v>
      </c>
      <c r="D21" s="130">
        <f>D15+D17+D18+D19</f>
        <v>0.14000000000000001</v>
      </c>
    </row>
  </sheetData>
  <mergeCells count="6">
    <mergeCell ref="B2:D2"/>
    <mergeCell ref="D6:D7"/>
    <mergeCell ref="B6:B8"/>
    <mergeCell ref="C6:C8"/>
    <mergeCell ref="B4:D4"/>
    <mergeCell ref="B3:D3"/>
  </mergeCells>
  <pageMargins left="1.45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2025-06-20T09:03:58Z</cp:lastPrinted>
  <dcterms:created xsi:type="dcterms:W3CDTF">2004-07-28T05:30:50Z</dcterms:created>
  <dcterms:modified xsi:type="dcterms:W3CDTF">2025-06-20T09:37:25Z</dcterms:modified>
</cp:coreProperties>
</file>