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9810" yWindow="-120" windowWidth="10455" windowHeight="5910" tabRatio="647" activeTab="20"/>
  </bookViews>
  <sheets>
    <sheet name="Checklist" sheetId="57" r:id="rId1"/>
    <sheet name="F1" sheetId="58" r:id="rId2"/>
    <sheet name="F2" sheetId="66" r:id="rId3"/>
    <sheet name="F2.1" sheetId="67" r:id="rId4"/>
    <sheet name="F2.2" sheetId="68" r:id="rId5"/>
    <sheet name="F2.3" sheetId="69" r:id="rId6"/>
    <sheet name="F3" sheetId="93" r:id="rId7"/>
    <sheet name="F3.1" sheetId="101" r:id="rId8"/>
    <sheet name="F3.2" sheetId="109" r:id="rId9"/>
    <sheet name="F4" sheetId="102" r:id="rId10"/>
    <sheet name="F5" sheetId="103" r:id="rId11"/>
    <sheet name="F6" sheetId="104" r:id="rId12"/>
    <sheet name="F7" sheetId="105" r:id="rId13"/>
    <sheet name="F8" sheetId="106" r:id="rId14"/>
    <sheet name="F9" sheetId="64" r:id="rId15"/>
    <sheet name="F10" sheetId="81" r:id="rId16"/>
    <sheet name="F11" sheetId="107" r:id="rId17"/>
    <sheet name="F11.1" sheetId="111" r:id="rId18"/>
    <sheet name="F12" sheetId="110" r:id="rId19"/>
    <sheet name="F13" sheetId="71" r:id="rId20"/>
    <sheet name="F15" sheetId="91" r:id="rId21"/>
  </sheets>
  <externalReferences>
    <externalReference r:id="rId22"/>
    <externalReference r:id="rId23"/>
    <externalReference r:id="rId24"/>
  </externalReferences>
  <definedNames>
    <definedName name="__123Graph_A" localSheetId="6" hidden="1">[1]CE!#REF!</definedName>
    <definedName name="__123Graph_A" localSheetId="7" hidden="1">[1]CE!#REF!</definedName>
    <definedName name="__123Graph_A" localSheetId="9" hidden="1">[1]CE!#REF!</definedName>
    <definedName name="__123Graph_A" localSheetId="10" hidden="1">[1]CE!#REF!</definedName>
    <definedName name="__123Graph_A" localSheetId="11" hidden="1">[1]CE!#REF!</definedName>
    <definedName name="__123Graph_A" localSheetId="12" hidden="1">[1]CE!#REF!</definedName>
    <definedName name="__123Graph_A" localSheetId="13" hidden="1">[1]CE!#REF!</definedName>
    <definedName name="__123Graph_ASTNPLF" localSheetId="6" hidden="1">[1]CE!#REF!</definedName>
    <definedName name="__123Graph_ASTNPLF" localSheetId="7" hidden="1">[1]CE!#REF!</definedName>
    <definedName name="__123Graph_ASTNPLF" localSheetId="9" hidden="1">[1]CE!#REF!</definedName>
    <definedName name="__123Graph_ASTNPLF" localSheetId="10" hidden="1">[1]CE!#REF!</definedName>
    <definedName name="__123Graph_ASTNPLF" localSheetId="11" hidden="1">[1]CE!#REF!</definedName>
    <definedName name="__123Graph_ASTNPLF" localSheetId="12" hidden="1">[1]CE!#REF!</definedName>
    <definedName name="__123Graph_ASTNPLF" localSheetId="13" hidden="1">[1]CE!#REF!</definedName>
    <definedName name="__123Graph_B" localSheetId="6" hidden="1">[1]CE!#REF!</definedName>
    <definedName name="__123Graph_B" localSheetId="7" hidden="1">[1]CE!#REF!</definedName>
    <definedName name="__123Graph_B" localSheetId="9" hidden="1">[1]CE!#REF!</definedName>
    <definedName name="__123Graph_B" localSheetId="10" hidden="1">[1]CE!#REF!</definedName>
    <definedName name="__123Graph_B" localSheetId="11" hidden="1">[1]CE!#REF!</definedName>
    <definedName name="__123Graph_B" localSheetId="12" hidden="1">[1]CE!#REF!</definedName>
    <definedName name="__123Graph_B" localSheetId="13" hidden="1">[1]CE!#REF!</definedName>
    <definedName name="__123Graph_BSTNPLF" localSheetId="6" hidden="1">[1]CE!#REF!</definedName>
    <definedName name="__123Graph_BSTNPLF" localSheetId="7" hidden="1">[1]CE!#REF!</definedName>
    <definedName name="__123Graph_BSTNPLF" localSheetId="9" hidden="1">[1]CE!#REF!</definedName>
    <definedName name="__123Graph_BSTNPLF" localSheetId="10" hidden="1">[1]CE!#REF!</definedName>
    <definedName name="__123Graph_BSTNPLF" localSheetId="11" hidden="1">[1]CE!#REF!</definedName>
    <definedName name="__123Graph_BSTNPLF" localSheetId="12" hidden="1">[1]CE!#REF!</definedName>
    <definedName name="__123Graph_BSTNPLF" localSheetId="13" hidden="1">[1]CE!#REF!</definedName>
    <definedName name="__123Graph_C" localSheetId="6" hidden="1">[1]CE!#REF!</definedName>
    <definedName name="__123Graph_C" localSheetId="7" hidden="1">[1]CE!#REF!</definedName>
    <definedName name="__123Graph_C" localSheetId="9" hidden="1">[1]CE!#REF!</definedName>
    <definedName name="__123Graph_C" localSheetId="10" hidden="1">[1]CE!#REF!</definedName>
    <definedName name="__123Graph_C" localSheetId="11" hidden="1">[1]CE!#REF!</definedName>
    <definedName name="__123Graph_C" localSheetId="12" hidden="1">[1]CE!#REF!</definedName>
    <definedName name="__123Graph_C" localSheetId="13" hidden="1">[1]CE!#REF!</definedName>
    <definedName name="__123Graph_CSTNPLF" localSheetId="6" hidden="1">[1]CE!#REF!</definedName>
    <definedName name="__123Graph_CSTNPLF" localSheetId="7" hidden="1">[1]CE!#REF!</definedName>
    <definedName name="__123Graph_CSTNPLF" localSheetId="9" hidden="1">[1]CE!#REF!</definedName>
    <definedName name="__123Graph_CSTNPLF" localSheetId="10" hidden="1">[1]CE!#REF!</definedName>
    <definedName name="__123Graph_CSTNPLF" localSheetId="11" hidden="1">[1]CE!#REF!</definedName>
    <definedName name="__123Graph_CSTNPLF" localSheetId="12" hidden="1">[1]CE!#REF!</definedName>
    <definedName name="__123Graph_CSTNPLF" localSheetId="13" hidden="1">[1]CE!#REF!</definedName>
    <definedName name="__123Graph_X" localSheetId="6" hidden="1">[1]CE!#REF!</definedName>
    <definedName name="__123Graph_X" localSheetId="7" hidden="1">[1]CE!#REF!</definedName>
    <definedName name="__123Graph_X" localSheetId="9" hidden="1">[1]CE!#REF!</definedName>
    <definedName name="__123Graph_X" localSheetId="10" hidden="1">[1]CE!#REF!</definedName>
    <definedName name="__123Graph_X" localSheetId="11" hidden="1">[1]CE!#REF!</definedName>
    <definedName name="__123Graph_X" localSheetId="12" hidden="1">[1]CE!#REF!</definedName>
    <definedName name="__123Graph_X" localSheetId="13" hidden="1">[1]CE!#REF!</definedName>
    <definedName name="__123Graph_XSTNPLF" localSheetId="6" hidden="1">[1]CE!#REF!</definedName>
    <definedName name="__123Graph_XSTNPLF" localSheetId="7" hidden="1">[1]CE!#REF!</definedName>
    <definedName name="__123Graph_XSTNPLF" localSheetId="9" hidden="1">[1]CE!#REF!</definedName>
    <definedName name="__123Graph_XSTNPLF" localSheetId="10" hidden="1">[1]CE!#REF!</definedName>
    <definedName name="__123Graph_XSTNPLF" localSheetId="11" hidden="1">[1]CE!#REF!</definedName>
    <definedName name="__123Graph_XSTNPLF" localSheetId="12" hidden="1">[1]CE!#REF!</definedName>
    <definedName name="__123Graph_XSTNPLF" localSheetId="13" hidden="1">[1]CE!#REF!</definedName>
    <definedName name="_Fill" localSheetId="6" hidden="1">#REF!</definedName>
    <definedName name="_Fill" localSheetId="7"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Order1" hidden="1">255</definedName>
    <definedName name="new" localSheetId="6" hidden="1">[2]CE!#REF!</definedName>
    <definedName name="new" localSheetId="7" hidden="1">[2]CE!#REF!</definedName>
    <definedName name="new" localSheetId="9" hidden="1">[2]CE!#REF!</definedName>
    <definedName name="new" localSheetId="10" hidden="1">[2]CE!#REF!</definedName>
    <definedName name="new" localSheetId="11" hidden="1">[2]CE!#REF!</definedName>
    <definedName name="new" localSheetId="12" hidden="1">[2]CE!#REF!</definedName>
    <definedName name="new" localSheetId="13" hidden="1">[2]CE!#REF!</definedName>
    <definedName name="_xlnm.Print_Area" localSheetId="0">Checklist!$A$1:$E$28</definedName>
    <definedName name="_xlnm.Print_Area" localSheetId="1">'F1'!$B$2:$I$22</definedName>
    <definedName name="_xlnm.Print_Area" localSheetId="14">'F9'!$B$2:$D$26</definedName>
    <definedName name="xxxx" localSheetId="6" hidden="1">[3]CE!#REF!</definedName>
    <definedName name="xxxx" localSheetId="7" hidden="1">[3]CE!#REF!</definedName>
    <definedName name="xxxx" localSheetId="9" hidden="1">[3]CE!#REF!</definedName>
    <definedName name="xxxx" localSheetId="10" hidden="1">[3]CE!#REF!</definedName>
    <definedName name="xxxx" localSheetId="11" hidden="1">[3]CE!#REF!</definedName>
    <definedName name="xxxx" localSheetId="12" hidden="1">[3]CE!#REF!</definedName>
    <definedName name="xxxx" localSheetId="13" hidden="1">[3]CE!#REF!</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81"/>
  <c r="G29"/>
  <c r="G24"/>
  <c r="G23"/>
  <c r="K13" i="102" l="1"/>
  <c r="J13"/>
  <c r="F13"/>
  <c r="H9" i="101" l="1"/>
  <c r="H11"/>
  <c r="H10"/>
  <c r="H8"/>
  <c r="H13" l="1"/>
  <c r="N10" i="71"/>
  <c r="M10"/>
  <c r="L10"/>
  <c r="K10"/>
  <c r="J10"/>
  <c r="I10"/>
  <c r="H10"/>
  <c r="G10"/>
  <c r="F10"/>
  <c r="E10"/>
  <c r="D10"/>
  <c r="C10"/>
  <c r="N8"/>
  <c r="M8"/>
  <c r="L8"/>
  <c r="K8"/>
  <c r="J8"/>
  <c r="I8"/>
  <c r="H8"/>
  <c r="G8"/>
  <c r="F8"/>
  <c r="E8"/>
  <c r="D8"/>
  <c r="C8"/>
  <c r="O8" l="1"/>
  <c r="O10"/>
  <c r="F19" i="110" l="1"/>
  <c r="I9" i="102" l="1"/>
  <c r="M9"/>
  <c r="N9"/>
  <c r="I10"/>
  <c r="M10"/>
  <c r="N10"/>
  <c r="I11"/>
  <c r="M11"/>
  <c r="N11"/>
  <c r="I12"/>
  <c r="M12"/>
  <c r="N12"/>
  <c r="I13"/>
  <c r="M13"/>
  <c r="N13"/>
  <c r="I14"/>
  <c r="M14"/>
  <c r="N14"/>
  <c r="I15"/>
  <c r="M15"/>
  <c r="N15"/>
  <c r="I16"/>
  <c r="M16"/>
  <c r="N16"/>
  <c r="I17"/>
  <c r="M17"/>
  <c r="N17"/>
  <c r="I18"/>
  <c r="M18"/>
  <c r="N18"/>
  <c r="I19"/>
  <c r="M19"/>
  <c r="N19"/>
  <c r="I20"/>
  <c r="M20"/>
  <c r="N20"/>
  <c r="I21"/>
  <c r="M21"/>
  <c r="N21"/>
  <c r="B12"/>
  <c r="B13" s="1"/>
  <c r="B14" s="1"/>
  <c r="B15" s="1"/>
  <c r="B16" s="1"/>
  <c r="B17" s="1"/>
  <c r="B18" s="1"/>
  <c r="B19" s="1"/>
  <c r="B20" s="1"/>
  <c r="B21" s="1"/>
  <c r="O13" l="1"/>
  <c r="O19"/>
  <c r="O17"/>
  <c r="O15"/>
  <c r="O11"/>
  <c r="O9"/>
  <c r="O21"/>
  <c r="O18"/>
  <c r="O14"/>
  <c r="O10"/>
  <c r="O20"/>
  <c r="O16"/>
  <c r="O12"/>
  <c r="D12" i="71" l="1"/>
  <c r="E12"/>
  <c r="F12"/>
  <c r="G12"/>
  <c r="H12"/>
  <c r="I12"/>
  <c r="J12"/>
  <c r="C12"/>
  <c r="N12"/>
  <c r="M12"/>
  <c r="L12"/>
  <c r="O12" l="1"/>
  <c r="K12"/>
  <c r="E34" i="106" l="1"/>
  <c r="G16" i="58" s="1"/>
  <c r="H16" s="1"/>
  <c r="F34" i="106"/>
  <c r="D26"/>
  <c r="D34" s="1"/>
  <c r="B11"/>
  <c r="B12" s="1"/>
  <c r="B13" s="1"/>
  <c r="B14" s="1"/>
  <c r="B15" s="1"/>
  <c r="B16" s="1"/>
  <c r="B17" s="1"/>
  <c r="B18" s="1"/>
  <c r="B19" s="1"/>
  <c r="B20" s="1"/>
  <c r="B21" s="1"/>
  <c r="B22" s="1"/>
  <c r="B23" s="1"/>
  <c r="B24" s="1"/>
  <c r="B25" s="1"/>
  <c r="B26" s="1"/>
  <c r="B27" s="1"/>
  <c r="B28" s="1"/>
  <c r="B29" s="1"/>
  <c r="B30" s="1"/>
  <c r="B31" s="1"/>
  <c r="G13" i="101" l="1"/>
  <c r="E15" i="110" l="1"/>
  <c r="E14"/>
  <c r="E13"/>
  <c r="E18" s="1"/>
  <c r="E12"/>
  <c r="E16" i="104"/>
  <c r="E19" i="110" l="1"/>
  <c r="E17"/>
  <c r="E16"/>
  <c r="D26" i="67"/>
  <c r="D34" s="1"/>
  <c r="F16" i="104" l="1"/>
  <c r="F18" i="110"/>
  <c r="F17"/>
  <c r="F16"/>
  <c r="G16" s="1"/>
  <c r="G14"/>
  <c r="G12"/>
  <c r="G11"/>
  <c r="G10"/>
  <c r="G9"/>
  <c r="G13"/>
  <c r="G20" i="58"/>
  <c r="G19" i="110"/>
  <c r="G15"/>
  <c r="H20" i="58" l="1"/>
  <c r="F20"/>
  <c r="E9" i="104"/>
  <c r="F9" s="1"/>
  <c r="G17" i="110"/>
  <c r="E11" i="104"/>
  <c r="F11" s="1"/>
  <c r="G18" i="110"/>
  <c r="D11" i="105"/>
  <c r="E10" i="104" l="1"/>
  <c r="F10" s="1"/>
  <c r="D15" i="109" l="1"/>
  <c r="D54" i="103"/>
  <c r="D13" i="105"/>
  <c r="E21" i="107"/>
  <c r="E32" s="1"/>
  <c r="E14"/>
  <c r="E16" s="1"/>
  <c r="E34" l="1"/>
  <c r="D12" i="104"/>
  <c r="D36" i="67"/>
  <c r="D38" i="68"/>
  <c r="D40" s="1"/>
  <c r="D18" i="69"/>
  <c r="F13" i="66" s="1"/>
  <c r="G13" s="1"/>
  <c r="D13" i="93"/>
  <c r="E11"/>
  <c r="F13" i="101"/>
  <c r="D56" i="103"/>
  <c r="D55"/>
  <c r="D46"/>
  <c r="D36"/>
  <c r="D41" s="1"/>
  <c r="D17" i="105"/>
  <c r="F17"/>
  <c r="E17"/>
  <c r="F12" i="66" l="1"/>
  <c r="G12" s="1"/>
  <c r="F11"/>
  <c r="G11" s="1"/>
  <c r="E11" i="103"/>
  <c r="F11" s="1"/>
  <c r="E9" i="105"/>
  <c r="F9" s="1"/>
  <c r="F19" s="1"/>
  <c r="E10" i="103"/>
  <c r="D9" i="109"/>
  <c r="D18" s="1"/>
  <c r="D21" s="1"/>
  <c r="E12" i="93"/>
  <c r="E10" i="105"/>
  <c r="E11" s="1"/>
  <c r="F11" s="1"/>
  <c r="D19"/>
  <c r="D20" s="1"/>
  <c r="F11" i="93"/>
  <c r="D20" i="69"/>
  <c r="F11" i="58"/>
  <c r="D57" i="103"/>
  <c r="F13" i="58"/>
  <c r="G14" i="66" l="1"/>
  <c r="F12" i="104" s="1"/>
  <c r="F14" i="66"/>
  <c r="E12" i="104" s="1"/>
  <c r="E19" i="105"/>
  <c r="F10" i="103"/>
  <c r="F12" s="1"/>
  <c r="E12"/>
  <c r="F12" i="93"/>
  <c r="F13" s="1"/>
  <c r="E14" i="103"/>
  <c r="D51"/>
  <c r="F19"/>
  <c r="E13" i="93"/>
  <c r="E13" i="105"/>
  <c r="F10"/>
  <c r="F13" s="1"/>
  <c r="F20" s="1"/>
  <c r="F21" s="1"/>
  <c r="H15" i="58" s="1"/>
  <c r="D21" i="69"/>
  <c r="F15" i="58"/>
  <c r="G11" l="1"/>
  <c r="E13" i="104" s="1"/>
  <c r="H11" i="58"/>
  <c r="F13" i="104" s="1"/>
  <c r="F14" i="103"/>
  <c r="E20" i="105"/>
  <c r="E21" s="1"/>
  <c r="G15" i="58" s="1"/>
  <c r="D62" i="103"/>
  <c r="E22" i="102"/>
  <c r="H12" i="58"/>
  <c r="F15" i="103" l="1"/>
  <c r="G12" i="58"/>
  <c r="E15" i="103" s="1"/>
  <c r="E16" l="1"/>
  <c r="E18" s="1"/>
  <c r="E20" s="1"/>
  <c r="E17"/>
  <c r="F17"/>
  <c r="F16"/>
  <c r="F18" s="1"/>
  <c r="F20" s="1"/>
  <c r="F16" i="58"/>
  <c r="V21" i="107"/>
  <c r="U21"/>
  <c r="T21"/>
  <c r="T32" s="1"/>
  <c r="S21"/>
  <c r="S32" s="1"/>
  <c r="R21"/>
  <c r="Q21"/>
  <c r="P21"/>
  <c r="O21"/>
  <c r="O32" s="1"/>
  <c r="N21"/>
  <c r="M21"/>
  <c r="L21"/>
  <c r="K21"/>
  <c r="K32" s="1"/>
  <c r="J21"/>
  <c r="I21"/>
  <c r="H21"/>
  <c r="G21"/>
  <c r="G32" s="1"/>
  <c r="F21"/>
  <c r="V14"/>
  <c r="V16" s="1"/>
  <c r="U14"/>
  <c r="U16" s="1"/>
  <c r="T14"/>
  <c r="T16" s="1"/>
  <c r="S14"/>
  <c r="S16" s="1"/>
  <c r="R14"/>
  <c r="R16" s="1"/>
  <c r="Q14"/>
  <c r="Q16" s="1"/>
  <c r="P14"/>
  <c r="P16" s="1"/>
  <c r="O14"/>
  <c r="O16" s="1"/>
  <c r="N14"/>
  <c r="N16" s="1"/>
  <c r="M14"/>
  <c r="M16" s="1"/>
  <c r="L14"/>
  <c r="L16" s="1"/>
  <c r="K14"/>
  <c r="K16" s="1"/>
  <c r="J14"/>
  <c r="J16" s="1"/>
  <c r="I14"/>
  <c r="I16" s="1"/>
  <c r="H14"/>
  <c r="H16" s="1"/>
  <c r="G14"/>
  <c r="G16" s="1"/>
  <c r="F14"/>
  <c r="F16" s="1"/>
  <c r="H19" i="58"/>
  <c r="H21" s="1"/>
  <c r="F19"/>
  <c r="F22" i="103" l="1"/>
  <c r="H13" i="58" s="1"/>
  <c r="E22" i="103"/>
  <c r="G13" i="58" s="1"/>
  <c r="T34" i="107"/>
  <c r="G34"/>
  <c r="K34"/>
  <c r="O34"/>
  <c r="S34"/>
  <c r="G19" i="58"/>
  <c r="G21" s="1"/>
  <c r="D16" i="104"/>
  <c r="H32" i="107"/>
  <c r="H34" s="1"/>
  <c r="L32"/>
  <c r="L34" s="1"/>
  <c r="P32"/>
  <c r="P34" s="1"/>
  <c r="F32"/>
  <c r="F34" s="1"/>
  <c r="J32"/>
  <c r="J34" s="1"/>
  <c r="N32"/>
  <c r="N34" s="1"/>
  <c r="R32"/>
  <c r="R34" s="1"/>
  <c r="V32"/>
  <c r="V34" s="1"/>
  <c r="I32"/>
  <c r="I34" s="1"/>
  <c r="M32"/>
  <c r="M34" s="1"/>
  <c r="Q32"/>
  <c r="Q34" s="1"/>
  <c r="U32"/>
  <c r="U34" s="1"/>
  <c r="B20" i="58" l="1"/>
  <c r="B21" s="1"/>
  <c r="B51" i="107" l="1"/>
  <c r="B52" s="1"/>
  <c r="B53" s="1"/>
  <c r="B10"/>
  <c r="B12" s="1"/>
  <c r="B13" s="1"/>
  <c r="B14" s="1"/>
  <c r="B15" s="1"/>
  <c r="B16" s="1"/>
  <c r="B18" s="1"/>
  <c r="B19" s="1"/>
  <c r="B20" s="1"/>
  <c r="B21" s="1"/>
  <c r="B23" s="1"/>
  <c r="B28" s="1"/>
  <c r="B29" s="1"/>
  <c r="B30" s="1"/>
  <c r="B31" s="1"/>
  <c r="B32" s="1"/>
  <c r="B34" s="1"/>
  <c r="B35" s="1"/>
  <c r="B36" s="1"/>
  <c r="B38" s="1"/>
  <c r="B39" s="1"/>
  <c r="B40" s="1"/>
  <c r="B41" s="1"/>
  <c r="B42" s="1"/>
  <c r="B43" s="1"/>
  <c r="B44" s="1"/>
  <c r="B45" s="1"/>
  <c r="B46" s="1"/>
  <c r="B47" s="1"/>
  <c r="B10" i="105" l="1"/>
  <c r="B11" s="1"/>
  <c r="B12" s="1"/>
  <c r="B13" s="1"/>
  <c r="B15" s="1"/>
  <c r="B16" s="1"/>
  <c r="B17" s="1"/>
  <c r="B19" s="1"/>
  <c r="B10" i="104"/>
  <c r="B11" s="1"/>
  <c r="B12" s="1"/>
  <c r="B13" s="1"/>
  <c r="B14" s="1"/>
  <c r="B16" s="1"/>
  <c r="B17" s="1"/>
  <c r="B18" s="1"/>
  <c r="B19" s="1"/>
  <c r="B11" i="103"/>
  <c r="B12" s="1"/>
  <c r="B13" s="1"/>
  <c r="B14" s="1"/>
  <c r="B15" s="1"/>
  <c r="B16" s="1"/>
  <c r="B17" s="1"/>
  <c r="B18" s="1"/>
  <c r="B19" s="1"/>
  <c r="B20" s="1"/>
  <c r="B21" s="1"/>
  <c r="B22" s="1"/>
  <c r="B20" i="105" l="1"/>
  <c r="B21" s="1"/>
  <c r="B12" i="58"/>
  <c r="B13" s="1"/>
  <c r="B14" s="1"/>
  <c r="B15" s="1"/>
  <c r="B16" s="1"/>
  <c r="B17" s="1"/>
  <c r="B9" i="91" l="1"/>
  <c r="B10" s="1"/>
  <c r="B11" s="1"/>
  <c r="B12" s="1"/>
  <c r="B13" s="1"/>
  <c r="B14" s="1"/>
  <c r="B15" s="1"/>
  <c r="B16" s="1"/>
  <c r="B17" s="1"/>
  <c r="B18" s="1"/>
  <c r="B19" s="1"/>
  <c r="B20" s="1"/>
  <c r="B21" s="1"/>
  <c r="B22" s="1"/>
  <c r="B23" s="1"/>
  <c r="B24" s="1"/>
  <c r="B25" s="1"/>
  <c r="B26" s="1"/>
  <c r="B31" s="1"/>
  <c r="B32" s="1"/>
  <c r="B41" i="81" l="1"/>
  <c r="B42" s="1"/>
  <c r="B37"/>
  <c r="B38" s="1"/>
  <c r="B33"/>
  <c r="B34" s="1"/>
  <c r="B27"/>
  <c r="B28" s="1"/>
  <c r="B29" s="1"/>
  <c r="B30" s="1"/>
  <c r="B23"/>
  <c r="B24" s="1"/>
  <c r="B19"/>
  <c r="B20" s="1"/>
  <c r="B15"/>
  <c r="B16" s="1"/>
  <c r="B9" i="57"/>
  <c r="B10" s="1"/>
  <c r="B11" s="1"/>
  <c r="B12" s="1"/>
  <c r="B13" l="1"/>
  <c r="B14" s="1"/>
  <c r="B15" s="1"/>
  <c r="B12" i="66"/>
  <c r="B13" s="1"/>
  <c r="B14" s="1"/>
  <c r="B28" i="67"/>
  <c r="B29" s="1"/>
  <c r="B30" s="1"/>
  <c r="B31" s="1"/>
  <c r="B16" i="57" l="1"/>
  <c r="B17" s="1"/>
  <c r="B18" s="1"/>
  <c r="B19" s="1"/>
  <c r="B20" s="1"/>
  <c r="B21" s="1"/>
  <c r="B22" s="1"/>
  <c r="B23" l="1"/>
  <c r="B24" s="1"/>
  <c r="B25" s="1"/>
  <c r="B26" s="1"/>
  <c r="B27" s="1"/>
  <c r="B28" s="1"/>
  <c r="F14" i="58"/>
  <c r="F17" s="1"/>
  <c r="F22" l="1"/>
  <c r="D14" i="104" s="1"/>
  <c r="D17" s="1"/>
  <c r="G22" i="58" l="1"/>
  <c r="E14" i="104"/>
  <c r="E17"/>
  <c r="E19"/>
  <c r="G14" i="58"/>
  <c r="G17"/>
  <c r="F14" i="104"/>
  <c r="F17"/>
  <c r="F19"/>
  <c r="H14" i="58"/>
  <c r="H17"/>
  <c r="H22"/>
</calcChain>
</file>

<file path=xl/sharedStrings.xml><?xml version="1.0" encoding="utf-8"?>
<sst xmlns="http://schemas.openxmlformats.org/spreadsheetml/2006/main" count="919" uniqueCount="485">
  <si>
    <t>Equity</t>
  </si>
  <si>
    <t>Reference</t>
  </si>
  <si>
    <t>S.No.</t>
  </si>
  <si>
    <t>Actual</t>
  </si>
  <si>
    <t>(Rs. Crore)</t>
  </si>
  <si>
    <t>Form 1</t>
  </si>
  <si>
    <t>Title</t>
  </si>
  <si>
    <t>…</t>
  </si>
  <si>
    <t>Approved</t>
  </si>
  <si>
    <t>Remarks</t>
  </si>
  <si>
    <t>Audited</t>
  </si>
  <si>
    <t>Opening Balance of Loan</t>
  </si>
  <si>
    <t>Loan Repayment during the year</t>
  </si>
  <si>
    <t>Closing Balance of Loan</t>
  </si>
  <si>
    <t>Applicable Interest Rate (%)</t>
  </si>
  <si>
    <t>Less: Expenses Capitalised</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</si>
  <si>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</si>
  <si>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</si>
  <si>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</si>
  <si>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</si>
  <si>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</si>
  <si>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</si>
  <si>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</si>
  <si>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</si>
  <si>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Planned &amp; Forced Outages</t>
  </si>
  <si>
    <t>Form 3.1</t>
  </si>
  <si>
    <t>Form 3.2</t>
  </si>
  <si>
    <t>Form 5</t>
  </si>
  <si>
    <t>Form 6</t>
  </si>
  <si>
    <t>Form 7</t>
  </si>
  <si>
    <t>Form 8</t>
  </si>
  <si>
    <t>Form 9</t>
  </si>
  <si>
    <t>Form 10</t>
  </si>
  <si>
    <t>Form 11</t>
  </si>
  <si>
    <t>Operation &amp; Maintenance Expenses</t>
  </si>
  <si>
    <t>Interest on Working Capital</t>
  </si>
  <si>
    <t>Less: Non-Tariff Income</t>
  </si>
  <si>
    <t>Units</t>
  </si>
  <si>
    <t>MW</t>
  </si>
  <si>
    <t>Target Availability for full recovery of AFC</t>
  </si>
  <si>
    <t>%</t>
  </si>
  <si>
    <t>Target PLF for Incentive</t>
  </si>
  <si>
    <t>Scheduled Generation</t>
  </si>
  <si>
    <t>MU</t>
  </si>
  <si>
    <t>Normative Auxiliary Energy Consumption</t>
  </si>
  <si>
    <t>Net Generation</t>
  </si>
  <si>
    <t>Normative Gross Station Heat Rate</t>
  </si>
  <si>
    <t>kcal/kWh</t>
  </si>
  <si>
    <t>Normative Secondary Fuel Oil Consumption</t>
  </si>
  <si>
    <t>ml/kWh</t>
  </si>
  <si>
    <t>Normative Transit Loss</t>
  </si>
  <si>
    <t>Transit Loss</t>
  </si>
  <si>
    <t xml:space="preserve">Note: </t>
  </si>
  <si>
    <t>Total Working Capital requirement</t>
  </si>
  <si>
    <t>Gross Generation</t>
  </si>
  <si>
    <t>A.</t>
  </si>
  <si>
    <t>Planned Outages</t>
  </si>
  <si>
    <t>No of days of outage</t>
  </si>
  <si>
    <t>Period of Outage</t>
  </si>
  <si>
    <t>Reasons for Outage</t>
  </si>
  <si>
    <t>B.</t>
  </si>
  <si>
    <t>Forced Outages</t>
  </si>
  <si>
    <t xml:space="preserve">Reasons for Outage </t>
  </si>
  <si>
    <t>……</t>
  </si>
  <si>
    <t>…….</t>
  </si>
  <si>
    <t>A</t>
  </si>
  <si>
    <t>A. For Existing Generating Stations</t>
  </si>
  <si>
    <t xml:space="preserve">Employee Expenses </t>
  </si>
  <si>
    <t>Total O&amp;M Expenses</t>
  </si>
  <si>
    <t>B</t>
  </si>
  <si>
    <t>C</t>
  </si>
  <si>
    <t>Basic Salary</t>
  </si>
  <si>
    <t>Dearness Allowance (DA)</t>
  </si>
  <si>
    <t>House Rent Allowance</t>
  </si>
  <si>
    <t>Conveyance Allowance</t>
  </si>
  <si>
    <t>Leave Travel Allowance</t>
  </si>
  <si>
    <t>Earned Leave Encashment</t>
  </si>
  <si>
    <t>Other Allowances</t>
  </si>
  <si>
    <t>Medical Reimbursement</t>
  </si>
  <si>
    <t>Overtime Payment</t>
  </si>
  <si>
    <t>Bonus/Ex-Gratia Payments</t>
  </si>
  <si>
    <t xml:space="preserve">Interim Relief / Wage Revision </t>
  </si>
  <si>
    <t>Staff welfare expenses</t>
  </si>
  <si>
    <t>VRS Expenses/Retrenchment Compensation</t>
  </si>
  <si>
    <t>Commission to Directors</t>
  </si>
  <si>
    <t>Training Expenses</t>
  </si>
  <si>
    <t>Payment under Workmen's Compensation Act</t>
  </si>
  <si>
    <t>Net Employee Costs</t>
  </si>
  <si>
    <t>Terminal Benefits</t>
  </si>
  <si>
    <t>Provident Fund Contribution</t>
  </si>
  <si>
    <t>Provision for PF Fund</t>
  </si>
  <si>
    <t>Pension Payments</t>
  </si>
  <si>
    <t>Gratuity Payment</t>
  </si>
  <si>
    <t>Others</t>
  </si>
  <si>
    <t xml:space="preserve">Gross Employee Expenses </t>
  </si>
  <si>
    <t xml:space="preserve">Net Employee Expenses </t>
  </si>
  <si>
    <t>Rent Rates &amp; Taxes</t>
  </si>
  <si>
    <t>Insurance</t>
  </si>
  <si>
    <t>Telephone &amp; Postage, etc.</t>
  </si>
  <si>
    <t>Legal charges &amp; Audit fee</t>
  </si>
  <si>
    <t>Professional, Consultancy, Technical fee</t>
  </si>
  <si>
    <t>Conveyance &amp; Travel</t>
  </si>
  <si>
    <t>Electricity charges</t>
  </si>
  <si>
    <t>Water charges</t>
  </si>
  <si>
    <t>Security arrangements</t>
  </si>
  <si>
    <t>Fees &amp; subscription</t>
  </si>
  <si>
    <t>Books &amp; periodicals</t>
  </si>
  <si>
    <t>Computer Stationery</t>
  </si>
  <si>
    <t>Printing &amp; Stationery</t>
  </si>
  <si>
    <t xml:space="preserve">Advertisements </t>
  </si>
  <si>
    <t>Purchase Related Advertisement Expenses</t>
  </si>
  <si>
    <t>Contribution/Donations</t>
  </si>
  <si>
    <t>License Fee  and other related fee</t>
  </si>
  <si>
    <t>Vehicle Running Expenses Truck / Delivery Van</t>
  </si>
  <si>
    <t>Vehicle Hiring Expenses Truck / Delivery Van</t>
  </si>
  <si>
    <t>Cost of services procured</t>
  </si>
  <si>
    <t>Outsourcing of metering and billing system</t>
  </si>
  <si>
    <t>Freight On Capital Equipments</t>
  </si>
  <si>
    <t>V-sat, Internet and related charges</t>
  </si>
  <si>
    <t>Training</t>
  </si>
  <si>
    <t>Bank Charges</t>
  </si>
  <si>
    <t>Miscellaneous Expenses</t>
  </si>
  <si>
    <t>Office Expenses</t>
  </si>
  <si>
    <t>Gross A &amp;G Expenses</t>
  </si>
  <si>
    <t xml:space="preserve">Net A &amp;G Expenses </t>
  </si>
  <si>
    <t>Plant &amp; Machinery</t>
  </si>
  <si>
    <t>Buildings</t>
  </si>
  <si>
    <t>Civil Works</t>
  </si>
  <si>
    <t>Hydraulic Works</t>
  </si>
  <si>
    <t>Lines &amp; Cable Networks</t>
  </si>
  <si>
    <t>Vehicles</t>
  </si>
  <si>
    <t>Furniture &amp; Fixtures</t>
  </si>
  <si>
    <t>Office Equipment</t>
  </si>
  <si>
    <t>Gross R&amp;M Expenses</t>
  </si>
  <si>
    <t>Gross Fixed Assets at beginning of year</t>
  </si>
  <si>
    <t>R&amp;M Expenses as % of GFA at beginning of year</t>
  </si>
  <si>
    <t>Additions during the year</t>
  </si>
  <si>
    <t>Total</t>
  </si>
  <si>
    <t>(MU)</t>
  </si>
  <si>
    <t>Apr</t>
  </si>
  <si>
    <t>May</t>
  </si>
  <si>
    <t>Jun</t>
  </si>
  <si>
    <t>Jul</t>
  </si>
  <si>
    <t>Aug</t>
  </si>
  <si>
    <t>Sep</t>
  </si>
  <si>
    <t>Oct</t>
  </si>
  <si>
    <t>Nov</t>
  </si>
  <si>
    <t>Dec</t>
  </si>
  <si>
    <t>Jan</t>
  </si>
  <si>
    <t>Feb</t>
  </si>
  <si>
    <t>Mar</t>
  </si>
  <si>
    <t>Revenue from sale of electricity</t>
  </si>
  <si>
    <t>Non-Tariff Income</t>
  </si>
  <si>
    <t>Actual/Projected Availability</t>
  </si>
  <si>
    <t>Actual/Projected PLF</t>
  </si>
  <si>
    <t>Actual/Projected Gross Generation</t>
  </si>
  <si>
    <t>Actual/Projected Auxiliary Energy Consumption</t>
  </si>
  <si>
    <t>Actual/Projected Gross Station Heat Rate</t>
  </si>
  <si>
    <t>Actual/Projected Secondary Fuel Oil Consumption</t>
  </si>
  <si>
    <t>Actual/Projected Transit Loss</t>
  </si>
  <si>
    <t>Form 12</t>
  </si>
  <si>
    <t>Unit 1 / Station 1</t>
  </si>
  <si>
    <t>Unit 2 / Station 2</t>
  </si>
  <si>
    <t xml:space="preserve">Depreciation </t>
  </si>
  <si>
    <t>Addition of Loan during the year</t>
  </si>
  <si>
    <t>Form 13</t>
  </si>
  <si>
    <t>Total Revenue</t>
  </si>
  <si>
    <t>Auxiliary Consumption</t>
  </si>
  <si>
    <t>Normative Availability (%)</t>
  </si>
  <si>
    <t>Availability</t>
  </si>
  <si>
    <t>Plant Load Factor (PLF)</t>
  </si>
  <si>
    <t>Secondary Fuel Oil Consumption</t>
  </si>
  <si>
    <t>Opening Balance of Gross Normative Loan</t>
  </si>
  <si>
    <t>Cumulative Repayment till the year</t>
  </si>
  <si>
    <t>Opening Balance of Net Normative Loan</t>
  </si>
  <si>
    <t>Less: Reduction of Normative Loan due to retirement or replacement of assets</t>
  </si>
  <si>
    <t>Closing Balance of Net Normative Loan</t>
  </si>
  <si>
    <t>Closing Balance of Gross Normative Loan</t>
  </si>
  <si>
    <t>Return on Equity Computation</t>
  </si>
  <si>
    <t>Total Return on Equity</t>
  </si>
  <si>
    <t>Repayment of Normative loan during the year</t>
  </si>
  <si>
    <t>Total Loan</t>
  </si>
  <si>
    <t>Justification</t>
  </si>
  <si>
    <t>Financing Details</t>
  </si>
  <si>
    <t>Internal Resources</t>
  </si>
  <si>
    <t>Total Cost</t>
  </si>
  <si>
    <t>Financing of Additional Capitalisation</t>
  </si>
  <si>
    <t>Loan 2</t>
  </si>
  <si>
    <t>Loan 1</t>
  </si>
  <si>
    <t>S. No.</t>
  </si>
  <si>
    <t>Availability during the month (%)</t>
  </si>
  <si>
    <t>Cumulative Availability (%)</t>
  </si>
  <si>
    <t>Actual PLF during the month (%)</t>
  </si>
  <si>
    <t>Cumulative PLF (%)</t>
  </si>
  <si>
    <t>Gross  Generation (MU)</t>
  </si>
  <si>
    <t>Auxiliary Consumption (MU)</t>
  </si>
  <si>
    <t>Variable Charges Per Unit</t>
  </si>
  <si>
    <t>Fixed Charges During Month</t>
  </si>
  <si>
    <t>Incentive Amount</t>
  </si>
  <si>
    <t>Other recoveries/adjustments</t>
  </si>
  <si>
    <t>Rs./kWh</t>
  </si>
  <si>
    <t>Rs. Crore</t>
  </si>
  <si>
    <t>Total Revenue as per Audited Accounts</t>
  </si>
  <si>
    <t>Gross Station Heat Rate</t>
  </si>
  <si>
    <t>True-Up requirement</t>
  </si>
  <si>
    <t>Legend</t>
  </si>
  <si>
    <t xml:space="preserve">Details of outages should be submitted for each Unit of each station separately </t>
  </si>
  <si>
    <t>R &amp; M Expenses</t>
  </si>
  <si>
    <t>Installed Capacity</t>
  </si>
  <si>
    <t>Weighted average Rate of Interest on actual Loans (%)</t>
  </si>
  <si>
    <t>Average Balance of Net Normative Loan</t>
  </si>
  <si>
    <t>Average Loan Balance</t>
  </si>
  <si>
    <t>Net Generation (MU)</t>
  </si>
  <si>
    <t>Generation above target PLF (MU)</t>
  </si>
  <si>
    <t>Approved Fixed Charges</t>
  </si>
  <si>
    <t>Amount of Fuel Surcharge Adjustment</t>
  </si>
  <si>
    <t>Summary of Capital Expenditure and Capitalisation</t>
  </si>
  <si>
    <t>Type of Thermal Generating Station (Pithead/Non-Pithead)</t>
  </si>
  <si>
    <t>Form 15</t>
  </si>
  <si>
    <t>Form 16</t>
  </si>
  <si>
    <t>Regulatory Equity at the beginning of the year</t>
  </si>
  <si>
    <t>Capitalisation during the year</t>
  </si>
  <si>
    <t>Return on Regulatory Equity at the beginning of the year</t>
  </si>
  <si>
    <t>Return on Regulatory Equity addition during the year</t>
  </si>
  <si>
    <t>Revenue from Sale of Electricity</t>
  </si>
  <si>
    <t xml:space="preserve">April-March     </t>
  </si>
  <si>
    <t>Claimed</t>
  </si>
  <si>
    <t>Interest and finance charges on loan</t>
  </si>
  <si>
    <t>Return on Equity</t>
  </si>
  <si>
    <t>Annual Fixed Charges</t>
  </si>
  <si>
    <t>Energy Charges</t>
  </si>
  <si>
    <t>Energy Charge Rate</t>
  </si>
  <si>
    <t>Scheduled Energy (ex-bus)</t>
  </si>
  <si>
    <t>Apr-Mar</t>
  </si>
  <si>
    <t>A&amp;G Expenses</t>
  </si>
  <si>
    <t>Note:</t>
  </si>
  <si>
    <t>The projections for the Control Period to be supported by detailed computations</t>
  </si>
  <si>
    <t>Opening Capital Works in Progress</t>
  </si>
  <si>
    <t>Closing Capital Works in Progress</t>
  </si>
  <si>
    <t>FY</t>
  </si>
  <si>
    <t>Name of the work</t>
  </si>
  <si>
    <t>Name of the package (BTG, BoP, Civil Works etc.)</t>
  </si>
  <si>
    <t>Scope of work</t>
  </si>
  <si>
    <t>Total estimated cost* (Rs. Crore)</t>
  </si>
  <si>
    <t>*</t>
  </si>
  <si>
    <t>Total estimated cost to be supported by documentary evidences like work orders, investment approvals etc.</t>
  </si>
  <si>
    <t>Capital expenditure during the year (Rs. Crore)</t>
  </si>
  <si>
    <t>Capitalisation during the year (Rs. Crore)</t>
  </si>
  <si>
    <t>Relevant Clause of the TSERC MYT Regulation, 2023 under which the capitalisation has been claimed</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</si>
  <si>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</si>
  <si>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</si>
  <si>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</si>
  <si>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</si>
  <si>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</si>
  <si>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</si>
  <si>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</si>
  <si>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</si>
  <si>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</si>
  <si>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</si>
  <si>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</si>
  <si>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Asset group under which the capitalisation has been accounted (Land, Buldings, etc.)</t>
  </si>
  <si>
    <t xml:space="preserve">Asset Group                                                                                                                                                </t>
  </si>
  <si>
    <t>Form 2</t>
  </si>
  <si>
    <t>Form 2.3</t>
  </si>
  <si>
    <t>Form 2.1: Employee Expenses</t>
  </si>
  <si>
    <t>Form 2.3: Repair &amp; Maintenance Expenses</t>
  </si>
  <si>
    <t>Form 3:  Summary of Capital Expenditure and Capitalisation</t>
  </si>
  <si>
    <t>Form 3.1:  Statement of Additional Capitalisation after COD</t>
  </si>
  <si>
    <t>Form 4:  Fixed Assets &amp; Depreciation</t>
  </si>
  <si>
    <t>Capital Expenditure during the year</t>
  </si>
  <si>
    <t>Form 5:  Interest and finance charges on loan</t>
  </si>
  <si>
    <t>Normative Loan</t>
  </si>
  <si>
    <t>Interest</t>
  </si>
  <si>
    <t>Actual loan portfolio</t>
  </si>
  <si>
    <t>…......</t>
  </si>
  <si>
    <t>Finance charges</t>
  </si>
  <si>
    <t>Total Interest &amp; Finance charges</t>
  </si>
  <si>
    <t>Form 6:  Interest on working capital</t>
  </si>
  <si>
    <t>Cost of coal, towards stock</t>
  </si>
  <si>
    <t>Cost of coal for generation</t>
  </si>
  <si>
    <t>Cost of secondary fuel oil</t>
  </si>
  <si>
    <t>O&amp;M expenses</t>
  </si>
  <si>
    <t>Maintenance spares</t>
  </si>
  <si>
    <t>Less:</t>
  </si>
  <si>
    <t>Interest rate</t>
  </si>
  <si>
    <t>Interest on working capital</t>
  </si>
  <si>
    <t>Form 7:  Return on Equity</t>
  </si>
  <si>
    <t>Rate of Return on Equity</t>
  </si>
  <si>
    <t>Base rate of Return on Equity</t>
  </si>
  <si>
    <t>Effective Income Tax rate</t>
  </si>
  <si>
    <t>Form 8:  Non-Tariff Income</t>
  </si>
  <si>
    <t xml:space="preserve">April-March    </t>
  </si>
  <si>
    <t>Form 9:  Planned &amp; Forced Outages</t>
  </si>
  <si>
    <t>Form 10: Operational parameters</t>
  </si>
  <si>
    <t>Form 3.2:  Financing of Additional Capitalisation</t>
  </si>
  <si>
    <t>Additional capitalisation</t>
  </si>
  <si>
    <t>Others (Please Specify)</t>
  </si>
  <si>
    <t>Total (2+3+4+5)</t>
  </si>
  <si>
    <t>Opening Quantity</t>
  </si>
  <si>
    <t>Opening quantity of coal</t>
  </si>
  <si>
    <t>Value ot stock</t>
  </si>
  <si>
    <t>MT</t>
  </si>
  <si>
    <t>Procurement</t>
  </si>
  <si>
    <t>Quantity of coal suppllied by the coal company</t>
  </si>
  <si>
    <t>Coal supplied by coal company (3+4)</t>
  </si>
  <si>
    <t>Normative transit and handling loss</t>
  </si>
  <si>
    <t>Net coal supplied</t>
  </si>
  <si>
    <t>Price</t>
  </si>
  <si>
    <t>Amount charged by coal company</t>
  </si>
  <si>
    <t>Adjustment in amount charged by the coal company</t>
  </si>
  <si>
    <t>Handling, sampling and such other similar charges</t>
  </si>
  <si>
    <t>Total amount charged (8+9+10)</t>
  </si>
  <si>
    <t>D</t>
  </si>
  <si>
    <t>Transportation</t>
  </si>
  <si>
    <t>Transportation charges</t>
  </si>
  <si>
    <t>By rail</t>
  </si>
  <si>
    <t>By road</t>
  </si>
  <si>
    <t>By ship</t>
  </si>
  <si>
    <t>Adjustment in amount charged by the coal transporter</t>
  </si>
  <si>
    <t>Demurrage charges, if any</t>
  </si>
  <si>
    <t>Total Transportation charges (12+13+14+15)</t>
  </si>
  <si>
    <t>Total amount charged for coal supplied including transportation (11+16)</t>
  </si>
  <si>
    <t>E</t>
  </si>
  <si>
    <t>Landed cost of coal (2+17)/(1+7)</t>
  </si>
  <si>
    <t>Rs./MT</t>
  </si>
  <si>
    <t>Blending Ratio (Domestic/Imported)</t>
  </si>
  <si>
    <t>Weighted average cost of coal for preceding three months</t>
  </si>
  <si>
    <t>F</t>
  </si>
  <si>
    <t>Quality</t>
  </si>
  <si>
    <t>kcal/kg</t>
  </si>
  <si>
    <t>GCV of Domestic Coal supplied as per bill of Coal Company</t>
  </si>
  <si>
    <t>GCV of Imported Coal supplied as per bill Coal Company</t>
  </si>
  <si>
    <t>Weighted average GCV of coal as Billed</t>
  </si>
  <si>
    <t>GCV of Domestic Coal supplied as received at Station</t>
  </si>
  <si>
    <t>GCV of Imported Coal of opening stock as received at Station</t>
  </si>
  <si>
    <t>Weighted average GCV of coal as Received</t>
  </si>
  <si>
    <t>Similar details to be furnished for secondary fuel oil for coal based thermal plants with appropriate units.</t>
  </si>
  <si>
    <t>As billed and as received GCV, quantity of coal, and price should be submitted as certified by statutory auditor.</t>
  </si>
  <si>
    <t>Details to be provided for each source separately. In case of more than one source, add additional column.</t>
  </si>
  <si>
    <t>Break up of the amount charged by the Coal Company is to be provided separately.</t>
  </si>
  <si>
    <t>COD</t>
  </si>
  <si>
    <t>Form 11: Fuel Details for computation of Energy Charge Rate</t>
  </si>
  <si>
    <t>Form 12: Energy Charge Rate</t>
  </si>
  <si>
    <t>Secondary Fuel oil consumption</t>
  </si>
  <si>
    <t>Calorific Value of Secondary Fuel</t>
  </si>
  <si>
    <t>Landed Price of Secondary Fuel</t>
  </si>
  <si>
    <t>Landed Price of Coal</t>
  </si>
  <si>
    <t>Specific Coal Consumption</t>
  </si>
  <si>
    <t>ECR</t>
  </si>
  <si>
    <t>AUX</t>
  </si>
  <si>
    <t>SFC</t>
  </si>
  <si>
    <t>CVSF</t>
  </si>
  <si>
    <t>kcal/ml</t>
  </si>
  <si>
    <t>LPSF</t>
  </si>
  <si>
    <t>Rs./ml</t>
  </si>
  <si>
    <t>CVPF</t>
  </si>
  <si>
    <t>LPPF</t>
  </si>
  <si>
    <t>Rs./kg</t>
  </si>
  <si>
    <t>kg/kWh</t>
  </si>
  <si>
    <t>GSHR</t>
  </si>
  <si>
    <t>Gross Calorific Value of Coal</t>
  </si>
  <si>
    <t>Form 13: Sales</t>
  </si>
  <si>
    <t>Beneficiary</t>
  </si>
  <si>
    <t>Fuel Surcharge</t>
  </si>
  <si>
    <t>Energy Charges Amount</t>
  </si>
  <si>
    <t>Form 15: Revenue Reconciliation</t>
  </si>
  <si>
    <t>MYT/Tariff Order</t>
  </si>
  <si>
    <t xml:space="preserve"> Tariff Filing Formats - Generation</t>
  </si>
  <si>
    <t>Form</t>
  </si>
  <si>
    <t>Checklist</t>
  </si>
  <si>
    <t>Tick</t>
  </si>
  <si>
    <t>Form 14</t>
  </si>
  <si>
    <t>Summary Sheet</t>
  </si>
  <si>
    <t>Form 2:  Operation and Maintenance Expenses</t>
  </si>
  <si>
    <t>Operation and Maintenance Expenses</t>
  </si>
  <si>
    <t>Employee Expenses</t>
  </si>
  <si>
    <t>Administration &amp; General Expenses</t>
  </si>
  <si>
    <t>Repair &amp; Maintenance Expenses</t>
  </si>
  <si>
    <t>Statement of Additional Capitalisation after COD</t>
  </si>
  <si>
    <t>Fixed Assets &amp; Depreciation</t>
  </si>
  <si>
    <t>Operational parameters</t>
  </si>
  <si>
    <t>Fuel Details for computation of Energy Charge Rate</t>
  </si>
  <si>
    <t>Sales</t>
  </si>
  <si>
    <t>Revenue Reconciliation</t>
  </si>
  <si>
    <t>Summary of true-up</t>
  </si>
  <si>
    <t>GCV of Domestic Coal of the opening stock as received at Station</t>
  </si>
  <si>
    <t>GCV of Imported Coal of the opening stock as per bill Coal Company</t>
  </si>
  <si>
    <t>GCV of Domestic Coal of the opening coal stock as per bill of Coal Company</t>
  </si>
  <si>
    <t>Cost of diesel in transporting coal through MGR system, if applicable</t>
  </si>
  <si>
    <t>Unfunded past liabilities of pension &amp; gratuity</t>
  </si>
  <si>
    <t>AFC +Energy Charges</t>
  </si>
  <si>
    <t>Adjustment in coal quantity supplied by the coal company (-/+)</t>
  </si>
  <si>
    <r>
      <t>Receivables</t>
    </r>
    <r>
      <rPr>
        <sz val="10"/>
        <rFont val="Arial"/>
        <family val="2"/>
      </rPr>
      <t>1</t>
    </r>
  </si>
  <si>
    <r>
      <t>Payables for Fuels</t>
    </r>
    <r>
      <rPr>
        <sz val="10"/>
        <rFont val="Arial"/>
        <family val="2"/>
      </rPr>
      <t>2</t>
    </r>
  </si>
  <si>
    <r>
      <t>Addition of Normative Loan due to capitalisation during the year</t>
    </r>
    <r>
      <rPr>
        <sz val="10"/>
        <rFont val="Arial"/>
        <family val="2"/>
      </rPr>
      <t>1</t>
    </r>
  </si>
  <si>
    <t>1 In case actual loan is more than 75%, the modification in the formula need to be done accordingly.</t>
  </si>
  <si>
    <t xml:space="preserve">      &lt;TGGENCO&gt;</t>
  </si>
  <si>
    <t>TGGENCO</t>
  </si>
  <si>
    <t>FY 2023-24</t>
  </si>
  <si>
    <t>FY 2024-25</t>
  </si>
  <si>
    <t>Form 2.2: Administrative &amp; General Expenses</t>
  </si>
  <si>
    <t>Form 1: Summary Sheet</t>
  </si>
  <si>
    <t>Coal Rate</t>
  </si>
  <si>
    <t>Oil Rate</t>
  </si>
  <si>
    <t>Land &amp; Land Rights</t>
  </si>
  <si>
    <t>Lines &amp; Cable Network</t>
  </si>
  <si>
    <t>Capital Spares</t>
  </si>
  <si>
    <t>Other Civil Works</t>
  </si>
  <si>
    <t>Furniture&amp; Fixtures</t>
  </si>
  <si>
    <t>Computers</t>
  </si>
  <si>
    <t>Intangible Assets</t>
  </si>
  <si>
    <t>Land Deposits</t>
  </si>
  <si>
    <t xml:space="preserve">CURRENT CONSUMPTION CHARGES                       </t>
  </si>
  <si>
    <t xml:space="preserve">INCOME FROM SALE OF ASH                           </t>
  </si>
  <si>
    <t xml:space="preserve">INCOME FROM SALE OF COAL REJECTS                  </t>
  </si>
  <si>
    <t xml:space="preserve">INCOME FROM SALE OF SCRAP                         </t>
  </si>
  <si>
    <t xml:space="preserve">INTEREST INCOME ON EMPLOYEES - Ind AS             </t>
  </si>
  <si>
    <t xml:space="preserve">INTEREST INCOME ON SD                             </t>
  </si>
  <si>
    <t xml:space="preserve">INTEREST ON CYCLE/MOPED/MOTOR CYCLE/CAR ADVANCE   </t>
  </si>
  <si>
    <t xml:space="preserve">INTEREST ON MARRIAGE ADVANCE TO STAFF             </t>
  </si>
  <si>
    <t>INTEREST ON STAFF LOANS &amp; ADVANCES(HOUSE BUILDING)</t>
  </si>
  <si>
    <t xml:space="preserve">INTEREST/INCOME FROM OTHER DEPOSITS               </t>
  </si>
  <si>
    <t xml:space="preserve">INTEREST/INCOME ON DEPOSITS FROM BANKS            </t>
  </si>
  <si>
    <t xml:space="preserve">OTHER INCOME - CONSULTANCY PROJECTS               </t>
  </si>
  <si>
    <t xml:space="preserve">OTHER MISCELLANEOUS RECEIPTS/INCOME               </t>
  </si>
  <si>
    <t xml:space="preserve">OTHER RECEIPTS  FROM CONTRACTORS                  </t>
  </si>
  <si>
    <t xml:space="preserve">OTHER RECEIPTS FROM STAFF                         </t>
  </si>
  <si>
    <t xml:space="preserve">OTHER RENTAL OR LETTING OUT                       </t>
  </si>
  <si>
    <t xml:space="preserve">PENALITIES RECOVERED FROM CONTRACTORS             </t>
  </si>
  <si>
    <t xml:space="preserve">RENTAL FROM RES. QUARTERS FROM UN REG PERSONS     </t>
  </si>
  <si>
    <t xml:space="preserve">RENTAL FROM STAFF FOR RESIDENTIAL QUARTERS        </t>
  </si>
  <si>
    <t xml:space="preserve">SALE OF TENDER SPECIFICATIONS                     </t>
  </si>
  <si>
    <t xml:space="preserve">VENDOR REGISTRATION FEE                           </t>
  </si>
  <si>
    <t xml:space="preserve">WATER CHARGES                                     </t>
  </si>
  <si>
    <t>Telangana State Power Generation Corporation Limited</t>
  </si>
  <si>
    <t>Opening quantity of oil</t>
  </si>
  <si>
    <t>KL</t>
  </si>
  <si>
    <t>Rs.in Crs</t>
  </si>
  <si>
    <t>Quantity of oil suppllied by the oil company</t>
  </si>
  <si>
    <t>Adjustment in oil quantity supplied by the oil company</t>
  </si>
  <si>
    <t>oil supplied by oil company (3+4)</t>
  </si>
  <si>
    <t>Net oil supplied</t>
  </si>
  <si>
    <t>Amount charged by oil company</t>
  </si>
  <si>
    <t>Adjustment in amount charged by the oil company</t>
  </si>
  <si>
    <t>Adjustment in amount charged by the oil transporter</t>
  </si>
  <si>
    <t>Cost of diesel in transporting oil through MGR system, if
applicable</t>
  </si>
  <si>
    <t>Total amount charged for oil supplied including transportation (11+16)</t>
  </si>
  <si>
    <t>Landed cost of oil (2+17)/(1+7)</t>
  </si>
  <si>
    <t>Rs./KL</t>
  </si>
  <si>
    <t>Weighted average cost of oil for preceding three months</t>
  </si>
  <si>
    <t xml:space="preserve">GCV of Domestic Oil of the opening Oil stock as per bill of Oil Company
</t>
  </si>
  <si>
    <t>kcal/litre</t>
  </si>
  <si>
    <t>GCV of Domestic Oil supplied as per bill of Oil Company</t>
  </si>
  <si>
    <t xml:space="preserve">GCV of Imported Oil of the opening stock as per bill Oil Company 
</t>
  </si>
  <si>
    <t>GCV of Imported Oil supplied as per bill Oil Company</t>
  </si>
  <si>
    <t>Weighted average GCV of Oil as Billed</t>
  </si>
  <si>
    <t xml:space="preserve">GCV of Domestic Oil of the opening stock as received at Station
</t>
  </si>
  <si>
    <t>GCV of Domestic Oil supplied as received at Station</t>
  </si>
  <si>
    <t xml:space="preserve">GCV of Imported Oil of opening stock as received at Station
</t>
  </si>
  <si>
    <t>GCV of Imported Oil of opening stock as received at Station</t>
  </si>
  <si>
    <t>Weighted average GCV of Oil as Received</t>
  </si>
  <si>
    <t xml:space="preserve">GCV DETAILS TO BE FURNISHED BY COAL &amp; COMMERCIAL </t>
  </si>
  <si>
    <t>-</t>
  </si>
  <si>
    <t>Fuel (savings)/charge year end adjustment</t>
  </si>
  <si>
    <t>Fixed charges disallowed as per TGSLDC Availability</t>
  </si>
  <si>
    <t>TGSPDCL (70.55%)</t>
  </si>
  <si>
    <t>TGNPDCL (29.45%)</t>
  </si>
  <si>
    <t xml:space="preserve">      &lt;KTPP-II&gt;</t>
  </si>
  <si>
    <t>KTPP-II</t>
  </si>
  <si>
    <t>AHP Ash pond, ACHP, Compressed air system</t>
  </si>
  <si>
    <t>Pump, W/o Motor, 21.5MPA, 450KW, MDL: LXL2WJ003</t>
  </si>
  <si>
    <t>Other civil Works for Colony</t>
  </si>
  <si>
    <t>Office use Items</t>
  </si>
  <si>
    <t>KTPP-I &amp; II</t>
  </si>
  <si>
    <t>Form 11.1: Fuel Details for computation of Energy Charge Rate</t>
  </si>
  <si>
    <t>Loan 1-REC</t>
  </si>
  <si>
    <t>Loan 2-Andhra Bank (Now Union Bank of India)</t>
  </si>
  <si>
    <t>24.03.2016</t>
  </si>
  <si>
    <t>Non-Pit Head</t>
  </si>
  <si>
    <t>Enclosed as separate Annexure</t>
  </si>
  <si>
    <r>
      <rPr>
        <b/>
        <sz val="11"/>
        <rFont val="Arial"/>
        <family val="2"/>
      </rPr>
      <t>1.</t>
    </r>
    <r>
      <rPr>
        <sz val="11"/>
        <rFont val="Arial"/>
        <family val="2"/>
      </rPr>
      <t xml:space="preserve"> 03No.s of BCW pumps are installed in 600MW Boiler in which 02 pumps are in service for full load and 01 pump is in standby condition.
</t>
    </r>
    <r>
      <rPr>
        <b/>
        <sz val="11"/>
        <rFont val="Arial"/>
        <family val="2"/>
      </rPr>
      <t xml:space="preserve">2. </t>
    </r>
    <r>
      <rPr>
        <sz val="11"/>
        <rFont val="Arial"/>
        <family val="2"/>
      </rPr>
      <t xml:space="preserve">Boiler Circulating Water Pumps are critical in nature as these Pumps are designed for high temperature and high pressure to circulate water within the boiler to enhance the boiler operation. BCW pumps take suction from a header that is connected to down comers from the bottom of the boiler drum and discharge through additional tube circuits. It means the water pumped is at boiler temperature and pressure.
</t>
    </r>
    <r>
      <rPr>
        <b/>
        <sz val="11"/>
        <rFont val="Arial"/>
        <family val="2"/>
      </rPr>
      <t>3.</t>
    </r>
    <r>
      <rPr>
        <sz val="11"/>
        <rFont val="Arial"/>
        <family val="2"/>
      </rPr>
      <t xml:space="preserve"> It is essential to procure spare Boiler Circulating Water Pump for one to one replacement during emergency conditions.
</t>
    </r>
    <r>
      <rPr>
        <b/>
        <sz val="11"/>
        <rFont val="Arial"/>
        <family val="2"/>
      </rPr>
      <t xml:space="preserve">4. </t>
    </r>
    <r>
      <rPr>
        <sz val="11"/>
        <rFont val="Arial"/>
        <family val="2"/>
      </rPr>
      <t xml:space="preserve">The Boiler Circulating Water pump-C is running with low IR value and may fail at any time; this may lead to Generation loss.
</t>
    </r>
  </si>
  <si>
    <t>Rs.in Cr.</t>
  </si>
  <si>
    <t>Rs. in Cr.</t>
  </si>
  <si>
    <t>1). In case actual availability is less or more than normative value, the modification in the formula need to be done accordingly.</t>
  </si>
  <si>
    <t>Fixed charges reduced prorata to actual capitalisation</t>
  </si>
</sst>
</file>

<file path=xl/styles.xml><?xml version="1.0" encoding="utf-8"?>
<styleSheet xmlns="http://schemas.openxmlformats.org/spreadsheetml/2006/main">
  <numFmts count="13">
    <numFmt numFmtId="43" formatCode="_ * #,##0.00_ ;_ * \-#,##0.00_ ;_ * &quot;-&quot;??_ ;_ @_ "/>
    <numFmt numFmtId="164" formatCode="&quot;$&quot;#,##0.00_);[Red]\(&quot;$&quot;#,##0.00\)"/>
    <numFmt numFmtId="165" formatCode="_(* #,##0.00_);_(* \(#,##0.00\);_(* &quot;-&quot;??_);_(@_)"/>
    <numFmt numFmtId="166" formatCode="_-* #,##0.00_-;\-* #,##0.00_-;_-* &quot;-&quot;??_-;_-@_-"/>
    <numFmt numFmtId="167" formatCode="0.00_)"/>
    <numFmt numFmtId="168" formatCode="&quot;ß&quot;#,##0.00_);\(&quot;ß&quot;#,##0.00\)"/>
    <numFmt numFmtId="169" formatCode="0.0000"/>
    <numFmt numFmtId="170" formatCode="0.0000000"/>
    <numFmt numFmtId="171" formatCode="0.000"/>
    <numFmt numFmtId="172" formatCode="dd\.mm\.yyyy"/>
    <numFmt numFmtId="173" formatCode="_ * #,##0.000_ ;_ * \-#,##0.000_ ;_ * &quot;-&quot;???_ ;_ @_ "/>
    <numFmt numFmtId="174" formatCode="_(* #,##0.000_);_(* \(#,##0.000\);_(* &quot;-&quot;??_);_(@_)"/>
    <numFmt numFmtId="175" formatCode="_ &quot;రూ&quot;\ * #,##0.00_ ;_ &quot;రూ&quot;\ * \-#,##0.00_ ;_ &quot;రూ&quot;\ * &quot;-&quot;??_ ;_ @_ "/>
  </numFmts>
  <fonts count="5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sz val="11"/>
      <color indexed="8"/>
      <name val="Arial"/>
      <family val="2"/>
    </font>
    <font>
      <b/>
      <sz val="11"/>
      <color indexed="8"/>
      <name val="Arial"/>
      <family val="2"/>
    </font>
    <font>
      <vertAlign val="superscript"/>
      <sz val="11"/>
      <name val="Arial"/>
      <family val="2"/>
    </font>
    <font>
      <sz val="11"/>
      <color theme="1"/>
      <name val="Arial"/>
      <family val="2"/>
    </font>
    <font>
      <b/>
      <sz val="11"/>
      <color theme="1"/>
      <name val="Arial"/>
      <family val="2"/>
    </font>
    <font>
      <b/>
      <sz val="11"/>
      <color indexed="9"/>
      <name val="Arial"/>
      <family val="2"/>
    </font>
    <font>
      <sz val="10"/>
      <name val="Arial"/>
      <family val="2"/>
    </font>
    <font>
      <u/>
      <sz val="11"/>
      <color theme="10"/>
      <name val="Calibri"/>
      <family val="2"/>
    </font>
    <font>
      <sz val="11"/>
      <color rgb="FF000000"/>
      <name val="Calibri"/>
      <family val="2"/>
      <scheme val="minor"/>
    </font>
    <font>
      <b/>
      <sz val="13"/>
      <name val="Arial"/>
      <family val="2"/>
    </font>
    <font>
      <sz val="13"/>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6500"/>
      <name val="Calibri"/>
      <family val="2"/>
      <scheme val="minor"/>
    </font>
    <font>
      <b/>
      <sz val="18"/>
      <color theme="3"/>
      <name val="Cambria"/>
      <family val="2"/>
      <scheme val="major"/>
    </font>
    <font>
      <sz val="12"/>
      <color theme="1"/>
      <name val="Calibri"/>
      <family val="2"/>
      <scheme val="minor"/>
    </font>
    <font>
      <b/>
      <sz val="10"/>
      <name val="Arial"/>
      <family val="2"/>
    </font>
  </fonts>
  <fills count="3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3">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1320">
    <xf numFmtId="0" fontId="0" fillId="0" borderId="0"/>
    <xf numFmtId="0" fontId="12" fillId="0" borderId="0" applyNumberFormat="0" applyFill="0" applyBorder="0" applyAlignment="0" applyProtection="0"/>
    <xf numFmtId="0" fontId="13" fillId="0" borderId="1"/>
    <xf numFmtId="0" fontId="13" fillId="0" borderId="1"/>
    <xf numFmtId="38" fontId="14" fillId="2" borderId="0" applyNumberFormat="0" applyBorder="0" applyAlignment="0" applyProtection="0"/>
    <xf numFmtId="0" fontId="15" fillId="0" borderId="2" applyNumberFormat="0" applyAlignment="0" applyProtection="0">
      <alignment horizontal="left" vertical="center"/>
    </xf>
    <xf numFmtId="0" fontId="15" fillId="0" borderId="3">
      <alignment horizontal="left" vertical="center"/>
    </xf>
    <xf numFmtId="10" fontId="14" fillId="3" borderId="4" applyNumberFormat="0" applyBorder="0" applyAlignment="0" applyProtection="0"/>
    <xf numFmtId="37" fontId="16" fillId="0" borderId="0"/>
    <xf numFmtId="167" fontId="17" fillId="0" borderId="0"/>
    <xf numFmtId="0" fontId="11" fillId="0" borderId="0"/>
    <xf numFmtId="0" fontId="11" fillId="0" borderId="0"/>
    <xf numFmtId="0" fontId="9" fillId="0" borderId="0"/>
    <xf numFmtId="0" fontId="9" fillId="0" borderId="0"/>
    <xf numFmtId="0" fontId="11" fillId="0" borderId="0">
      <alignment vertical="center"/>
    </xf>
    <xf numFmtId="168" fontId="11" fillId="0" borderId="0" applyFont="0" applyFill="0" applyBorder="0" applyAlignment="0" applyProtection="0"/>
    <xf numFmtId="10" fontId="11" fillId="0" borderId="0" applyFont="0" applyFill="0" applyBorder="0" applyAlignment="0" applyProtection="0"/>
    <xf numFmtId="0" fontId="11" fillId="0" borderId="0"/>
    <xf numFmtId="0" fontId="19" fillId="0" borderId="0"/>
    <xf numFmtId="165" fontId="19" fillId="0" borderId="0" applyFont="0" applyFill="0" applyBorder="0" applyAlignment="0" applyProtection="0"/>
    <xf numFmtId="9" fontId="19" fillId="0" borderId="0" applyFont="0" applyFill="0" applyBorder="0" applyAlignment="0" applyProtection="0"/>
    <xf numFmtId="166" fontId="20" fillId="0" borderId="0" applyFont="0" applyFill="0" applyBorder="0" applyAlignment="0" applyProtection="0"/>
    <xf numFmtId="0" fontId="21" fillId="0" borderId="0"/>
    <xf numFmtId="9"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11" fillId="0" borderId="0" applyFont="0" applyFill="0" applyBorder="0" applyAlignment="0" applyProtection="0"/>
    <xf numFmtId="43" fontId="20"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9" fillId="0" borderId="0"/>
    <xf numFmtId="0" fontId="20" fillId="0" borderId="0"/>
    <xf numFmtId="0" fontId="20" fillId="0" borderId="0"/>
    <xf numFmtId="0" fontId="19"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1" fillId="0" borderId="0" applyFont="0" applyFill="0" applyBorder="0" applyAlignment="0" applyProtection="0"/>
    <xf numFmtId="9" fontId="20" fillId="0" borderId="0" applyFont="0" applyFill="0" applyBorder="0" applyAlignment="0" applyProtection="0"/>
    <xf numFmtId="165" fontId="22"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0" fontId="11" fillId="0" borderId="0"/>
    <xf numFmtId="0" fontId="11" fillId="0" borderId="0"/>
    <xf numFmtId="0" fontId="9" fillId="0" borderId="0"/>
    <xf numFmtId="0" fontId="11" fillId="0" borderId="0" applyBorder="0" applyProtection="0"/>
    <xf numFmtId="168" fontId="20" fillId="0" borderId="0" applyFont="0" applyFill="0" applyBorder="0" applyAlignment="0" applyProtection="0"/>
    <xf numFmtId="0" fontId="11" fillId="0" borderId="0"/>
    <xf numFmtId="0" fontId="11" fillId="0" borderId="0"/>
    <xf numFmtId="0" fontId="11" fillId="0" borderId="0"/>
    <xf numFmtId="9" fontId="11" fillId="0" borderId="0" applyFont="0" applyFill="0" applyBorder="0" applyAlignment="0" applyProtection="0"/>
    <xf numFmtId="0" fontId="8" fillId="0" borderId="0"/>
    <xf numFmtId="165" fontId="8" fillId="0" borderId="0" applyFont="0" applyFill="0" applyBorder="0" applyAlignment="0" applyProtection="0"/>
    <xf numFmtId="166" fontId="11" fillId="0" borderId="0" applyFont="0" applyFill="0" applyBorder="0" applyAlignment="0" applyProtection="0"/>
    <xf numFmtId="165"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7" fillId="0" borderId="0"/>
    <xf numFmtId="0" fontId="7" fillId="0" borderId="0"/>
    <xf numFmtId="0" fontId="6" fillId="0" borderId="0"/>
    <xf numFmtId="0" fontId="5" fillId="0" borderId="0"/>
    <xf numFmtId="43" fontId="31" fillId="0" borderId="0" applyFont="0" applyFill="0" applyBorder="0" applyAlignment="0" applyProtection="0"/>
    <xf numFmtId="43" fontId="4"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43" fontId="20"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4" fontId="11" fillId="0" borderId="0" applyFont="0" applyFill="0" applyBorder="0" applyAlignment="0" applyProtection="0"/>
    <xf numFmtId="17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0" fontId="4" fillId="0" borderId="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164"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11" fillId="0" borderId="0" applyFont="0" applyFill="0" applyBorder="0" applyAlignment="0" applyProtection="0"/>
    <xf numFmtId="43" fontId="11" fillId="0" borderId="0" applyFont="0" applyFill="0" applyBorder="0" applyAlignment="0" applyProtection="0"/>
    <xf numFmtId="175" fontId="11" fillId="0" borderId="0" applyFont="0" applyFill="0" applyBorder="0" applyAlignment="0" applyProtection="0"/>
    <xf numFmtId="0" fontId="32"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11" fillId="0" borderId="0" applyFont="0" applyFill="0" applyBorder="0" applyAlignment="0" applyProtection="0"/>
    <xf numFmtId="0" fontId="4" fillId="0" borderId="0"/>
    <xf numFmtId="0" fontId="4" fillId="0" borderId="0"/>
    <xf numFmtId="0" fontId="4" fillId="0" borderId="0"/>
    <xf numFmtId="0" fontId="4" fillId="0" borderId="0"/>
    <xf numFmtId="0" fontId="3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175" fontId="11" fillId="0" borderId="0" applyFont="0" applyFill="0" applyBorder="0" applyAlignment="0" applyProtection="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171" fontId="4" fillId="0" borderId="0" applyFont="0" applyFill="0" applyBorder="0" applyAlignment="0" applyProtection="0"/>
    <xf numFmtId="43" fontId="4" fillId="0" borderId="0" applyFont="0" applyFill="0" applyBorder="0" applyAlignment="0" applyProtection="0"/>
    <xf numFmtId="172" fontId="11"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171" fontId="4" fillId="0" borderId="0" applyFont="0" applyFill="0" applyBorder="0" applyAlignment="0" applyProtection="0"/>
    <xf numFmtId="43" fontId="4" fillId="0" borderId="0" applyFont="0" applyFill="0" applyBorder="0" applyAlignment="0" applyProtection="0"/>
    <xf numFmtId="172" fontId="11"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33" fillId="0" borderId="0"/>
    <xf numFmtId="0" fontId="33" fillId="0" borderId="0"/>
    <xf numFmtId="0" fontId="4" fillId="0" borderId="0"/>
    <xf numFmtId="0" fontId="33"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43" fontId="11"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43" fontId="11"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75" fontId="11" fillId="0" borderId="0" applyFont="0" applyFill="0" applyBorder="0" applyAlignment="0" applyProtection="0"/>
    <xf numFmtId="175"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1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75" fontId="11" fillId="0" borderId="0" applyFont="0" applyFill="0" applyBorder="0" applyAlignment="0" applyProtection="0"/>
    <xf numFmtId="175" fontId="11" fillId="0" borderId="0" applyFont="0" applyFill="0" applyBorder="0" applyAlignment="0" applyProtection="0"/>
    <xf numFmtId="0" fontId="4"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43" fontId="11"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applyFont="0" applyFill="0" applyBorder="0" applyAlignment="0" applyProtection="0"/>
    <xf numFmtId="0" fontId="33" fillId="0" borderId="0"/>
    <xf numFmtId="0" fontId="4" fillId="0" borderId="0" applyFont="0" applyFill="0" applyBorder="0" applyAlignment="0" applyProtection="0"/>
    <xf numFmtId="0" fontId="4" fillId="0" borderId="0"/>
    <xf numFmtId="0" fontId="33" fillId="0" borderId="0"/>
    <xf numFmtId="0" fontId="3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applyFont="0" applyFill="0" applyBorder="0" applyAlignment="0" applyProtection="0"/>
    <xf numFmtId="43" fontId="11" fillId="0" borderId="0" applyFont="0" applyFill="0" applyBorder="0" applyAlignment="0" applyProtection="0"/>
    <xf numFmtId="0" fontId="4" fillId="0" borderId="0"/>
    <xf numFmtId="0" fontId="11" fillId="0" borderId="0"/>
    <xf numFmtId="0" fontId="4" fillId="0" borderId="0"/>
    <xf numFmtId="0" fontId="4" fillId="0" borderId="0"/>
    <xf numFmtId="175" fontId="11" fillId="0" borderId="0" applyFont="0" applyFill="0" applyBorder="0" applyAlignment="0" applyProtection="0"/>
    <xf numFmtId="0" fontId="4" fillId="0" borderId="0"/>
    <xf numFmtId="0" fontId="4" fillId="0" borderId="0"/>
    <xf numFmtId="0" fontId="4" fillId="0" borderId="0"/>
    <xf numFmtId="43"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43" fontId="11" fillId="0" borderId="0" applyFont="0" applyFill="0" applyBorder="0" applyAlignment="0" applyProtection="0"/>
    <xf numFmtId="0" fontId="4" fillId="0" borderId="0"/>
    <xf numFmtId="0" fontId="4" fillId="0" borderId="0"/>
    <xf numFmtId="43" fontId="11" fillId="0" borderId="0" applyFont="0" applyFill="0" applyBorder="0" applyAlignment="0" applyProtection="0"/>
    <xf numFmtId="43" fontId="11" fillId="0" borderId="0" applyFont="0" applyFill="0" applyBorder="0" applyAlignment="0" applyProtection="0"/>
    <xf numFmtId="0" fontId="11" fillId="0" borderId="0" applyFont="0" applyFill="0" applyBorder="0" applyAlignment="0" applyProtection="0"/>
    <xf numFmtId="43"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43" fontId="11" fillId="0" borderId="0" applyFont="0" applyFill="0" applyBorder="0" applyAlignment="0" applyProtection="0"/>
    <xf numFmtId="0" fontId="4" fillId="0" borderId="0"/>
    <xf numFmtId="164" fontId="11" fillId="0" borderId="0" applyFont="0" applyFill="0" applyBorder="0" applyAlignment="0" applyProtection="0"/>
    <xf numFmtId="0" fontId="4" fillId="0" borderId="0"/>
    <xf numFmtId="43" fontId="11" fillId="0" borderId="0" applyFont="0" applyFill="0" applyBorder="0" applyAlignment="0" applyProtection="0"/>
    <xf numFmtId="0" fontId="4" fillId="0" borderId="0"/>
    <xf numFmtId="0" fontId="4" fillId="0" borderId="0"/>
    <xf numFmtId="43" fontId="11" fillId="0" borderId="0" applyFont="0" applyFill="0" applyBorder="0" applyAlignment="0" applyProtection="0"/>
    <xf numFmtId="43" fontId="11" fillId="0" borderId="0" applyFont="0" applyFill="0" applyBorder="0" applyAlignment="0" applyProtection="0"/>
    <xf numFmtId="0" fontId="11" fillId="0" borderId="0" applyFont="0" applyFill="0" applyBorder="0" applyAlignment="0" applyProtection="0"/>
    <xf numFmtId="43"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43" fontId="11" fillId="0" borderId="0" applyFont="0" applyFill="0" applyBorder="0" applyAlignment="0" applyProtection="0"/>
    <xf numFmtId="0" fontId="4" fillId="0" borderId="0"/>
    <xf numFmtId="164" fontId="11" fillId="0" borderId="0" applyFont="0" applyFill="0" applyBorder="0" applyAlignment="0" applyProtection="0"/>
    <xf numFmtId="43" fontId="11" fillId="0" borderId="0" applyFont="0" applyFill="0" applyBorder="0" applyAlignment="0" applyProtection="0"/>
    <xf numFmtId="0" fontId="4" fillId="0" borderId="0"/>
    <xf numFmtId="43" fontId="11" fillId="0" borderId="0" applyFont="0" applyFill="0" applyBorder="0" applyAlignment="0" applyProtection="0"/>
    <xf numFmtId="43" fontId="11" fillId="0" borderId="0" applyFont="0" applyFill="0" applyBorder="0" applyAlignment="0" applyProtection="0"/>
    <xf numFmtId="0" fontId="11" fillId="0" borderId="0" applyFont="0" applyFill="0" applyBorder="0" applyAlignment="0" applyProtection="0"/>
    <xf numFmtId="43" fontId="11" fillId="0" borderId="0" applyFont="0" applyFill="0" applyBorder="0" applyAlignment="0" applyProtection="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43" fontId="11" fillId="0" borderId="0" applyFont="0" applyFill="0" applyBorder="0" applyAlignment="0" applyProtection="0"/>
    <xf numFmtId="0" fontId="4" fillId="0" borderId="0"/>
    <xf numFmtId="164" fontId="11" fillId="0" borderId="0" applyFont="0" applyFill="0" applyBorder="0" applyAlignment="0" applyProtection="0"/>
    <xf numFmtId="43" fontId="11" fillId="0" borderId="0" applyFont="0" applyFill="0" applyBorder="0" applyAlignment="0" applyProtection="0"/>
    <xf numFmtId="0" fontId="4" fillId="0" borderId="0"/>
    <xf numFmtId="43" fontId="11" fillId="0" borderId="0" applyFont="0" applyFill="0" applyBorder="0" applyAlignment="0" applyProtection="0"/>
    <xf numFmtId="43" fontId="11" fillId="0" borderId="0" applyFont="0" applyFill="0" applyBorder="0" applyAlignment="0" applyProtection="0"/>
    <xf numFmtId="0" fontId="11" fillId="0" borderId="0" applyFont="0" applyFill="0" applyBorder="0" applyAlignment="0" applyProtection="0"/>
    <xf numFmtId="0" fontId="4" fillId="0" borderId="0"/>
    <xf numFmtId="0" fontId="11" fillId="0" borderId="0"/>
    <xf numFmtId="0" fontId="4" fillId="0" borderId="0"/>
    <xf numFmtId="0" fontId="4" fillId="0" borderId="0"/>
    <xf numFmtId="43" fontId="11" fillId="0" borderId="0" applyFont="0" applyFill="0" applyBorder="0" applyAlignment="0" applyProtection="0"/>
    <xf numFmtId="0" fontId="4" fillId="0" borderId="0"/>
    <xf numFmtId="0" fontId="4" fillId="0" borderId="0"/>
    <xf numFmtId="0" fontId="4" fillId="0" borderId="0"/>
    <xf numFmtId="164" fontId="11" fillId="0" borderId="0" applyFont="0" applyFill="0" applyBorder="0" applyAlignment="0" applyProtection="0"/>
    <xf numFmtId="43" fontId="11" fillId="0" borderId="0" applyFont="0" applyFill="0" applyBorder="0" applyAlignment="0" applyProtection="0"/>
    <xf numFmtId="0" fontId="4" fillId="0" borderId="0"/>
    <xf numFmtId="43" fontId="11" fillId="0" borderId="0" applyFont="0" applyFill="0" applyBorder="0" applyAlignment="0" applyProtection="0"/>
    <xf numFmtId="0" fontId="11"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0"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6" fillId="0" borderId="0" applyNumberFormat="0" applyFill="0" applyBorder="0" applyAlignment="0" applyProtection="0"/>
    <xf numFmtId="0" fontId="37" fillId="0" borderId="21" applyNumberFormat="0" applyFill="0" applyAlignment="0" applyProtection="0"/>
    <xf numFmtId="0" fontId="38" fillId="0" borderId="22" applyNumberFormat="0" applyFill="0" applyAlignment="0" applyProtection="0"/>
    <xf numFmtId="0" fontId="39" fillId="0" borderId="23" applyNumberFormat="0" applyFill="0" applyAlignment="0" applyProtection="0"/>
    <xf numFmtId="0" fontId="39" fillId="0" borderId="0" applyNumberFormat="0" applyFill="0" applyBorder="0" applyAlignment="0" applyProtection="0"/>
    <xf numFmtId="0" fontId="40" fillId="7" borderId="0" applyNumberFormat="0" applyBorder="0" applyAlignment="0" applyProtection="0"/>
    <xf numFmtId="0" fontId="41" fillId="8" borderId="0" applyNumberFormat="0" applyBorder="0" applyAlignment="0" applyProtection="0"/>
    <xf numFmtId="0" fontId="42" fillId="10" borderId="24" applyNumberFormat="0" applyAlignment="0" applyProtection="0"/>
    <xf numFmtId="0" fontId="43" fillId="11" borderId="25" applyNumberFormat="0" applyAlignment="0" applyProtection="0"/>
    <xf numFmtId="0" fontId="44" fillId="11" borderId="24" applyNumberFormat="0" applyAlignment="0" applyProtection="0"/>
    <xf numFmtId="0" fontId="45" fillId="0" borderId="26" applyNumberFormat="0" applyFill="0" applyAlignment="0" applyProtection="0"/>
    <xf numFmtId="0" fontId="46" fillId="12" borderId="27" applyNumberFormat="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9" fillId="0" borderId="29" applyNumberFormat="0" applyFill="0" applyAlignment="0" applyProtection="0"/>
    <xf numFmtId="0" fontId="50"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50"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0"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0"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0"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50"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0" borderId="0"/>
    <xf numFmtId="0" fontId="2" fillId="0" borderId="0"/>
    <xf numFmtId="0" fontId="2" fillId="0" borderId="0"/>
    <xf numFmtId="43" fontId="11" fillId="0" borderId="0" applyFont="0" applyFill="0" applyBorder="0" applyAlignment="0" applyProtection="0"/>
    <xf numFmtId="0" fontId="51" fillId="9" borderId="0" applyNumberFormat="0" applyBorder="0" applyAlignment="0" applyProtection="0"/>
    <xf numFmtId="0" fontId="50" fillId="17" borderId="0" applyNumberFormat="0" applyBorder="0" applyAlignment="0" applyProtection="0"/>
    <xf numFmtId="0" fontId="50" fillId="21" borderId="0" applyNumberFormat="0" applyBorder="0" applyAlignment="0" applyProtection="0"/>
    <xf numFmtId="0" fontId="50" fillId="25" borderId="0" applyNumberFormat="0" applyBorder="0" applyAlignment="0" applyProtection="0"/>
    <xf numFmtId="0" fontId="50" fillId="29" borderId="0" applyNumberFormat="0" applyBorder="0" applyAlignment="0" applyProtection="0"/>
    <xf numFmtId="0" fontId="50" fillId="33" borderId="0" applyNumberFormat="0" applyBorder="0" applyAlignment="0" applyProtection="0"/>
    <xf numFmtId="0" fontId="50" fillId="37" borderId="0" applyNumberFormat="0" applyBorder="0" applyAlignment="0" applyProtection="0"/>
    <xf numFmtId="0" fontId="11" fillId="0" borderId="0"/>
    <xf numFmtId="10" fontId="14" fillId="3" borderId="20" applyNumberFormat="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9" fontId="1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1" fillId="0" borderId="0" applyFont="0" applyFill="0" applyBorder="0" applyAlignment="0" applyProtection="0"/>
    <xf numFmtId="43" fontId="20" fillId="0" borderId="0" applyFont="0" applyFill="0" applyBorder="0" applyAlignment="0" applyProtection="0"/>
    <xf numFmtId="0" fontId="2" fillId="0" borderId="0"/>
    <xf numFmtId="0" fontId="2" fillId="0" borderId="0"/>
    <xf numFmtId="43" fontId="11"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43" fontId="11" fillId="0" borderId="0" applyFont="0" applyFill="0" applyBorder="0" applyAlignment="0" applyProtection="0"/>
    <xf numFmtId="43" fontId="11" fillId="0" borderId="0" applyFont="0" applyFill="0" applyBorder="0" applyAlignment="0" applyProtection="0"/>
    <xf numFmtId="9" fontId="11" fillId="0" borderId="0" applyFont="0" applyFill="0" applyBorder="0" applyAlignment="0" applyProtection="0"/>
    <xf numFmtId="0" fontId="2" fillId="0" borderId="0"/>
    <xf numFmtId="43" fontId="2" fillId="0" borderId="0" applyFont="0" applyFill="0" applyBorder="0" applyAlignment="0" applyProtection="0"/>
    <xf numFmtId="0" fontId="2" fillId="13" borderId="28" applyNumberFormat="0" applyFont="0" applyAlignment="0" applyProtection="0"/>
    <xf numFmtId="0" fontId="52" fillId="0" borderId="0" applyNumberForma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9" fontId="11"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1" fillId="0" borderId="0" applyFont="0" applyFill="0" applyBorder="0" applyAlignment="0" applyProtection="0"/>
    <xf numFmtId="43" fontId="20" fillId="0" borderId="0" applyFont="0" applyFill="0" applyBorder="0" applyAlignment="0" applyProtection="0"/>
    <xf numFmtId="0" fontId="2" fillId="0" borderId="0"/>
    <xf numFmtId="0" fontId="2" fillId="0" borderId="0"/>
    <xf numFmtId="43" fontId="11"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11" fillId="0" borderId="0" applyFont="0" applyFill="0" applyBorder="0" applyAlignment="0" applyProtection="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11" fillId="0" borderId="0" applyFont="0" applyFill="0" applyBorder="0" applyAlignment="0" applyProtection="0"/>
    <xf numFmtId="9" fontId="11" fillId="0" borderId="0" applyFont="0" applyFill="0" applyBorder="0" applyAlignment="0" applyProtection="0"/>
    <xf numFmtId="0" fontId="11"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11" fillId="0" borderId="0" applyFont="0" applyFill="0" applyBorder="0" applyAlignment="0" applyProtection="0"/>
    <xf numFmtId="10" fontId="14" fillId="3" borderId="30" applyNumberFormat="0" applyBorder="0" applyAlignment="0" applyProtection="0"/>
    <xf numFmtId="0" fontId="1" fillId="0" borderId="0"/>
    <xf numFmtId="165"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165" fontId="11" fillId="0" borderId="0" applyFont="0" applyFill="0" applyBorder="0" applyAlignment="0" applyProtection="0"/>
    <xf numFmtId="0" fontId="1" fillId="0" borderId="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17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171"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0" borderId="0"/>
    <xf numFmtId="0" fontId="1" fillId="0" borderId="0"/>
    <xf numFmtId="10" fontId="14" fillId="3" borderId="30" applyNumberFormat="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13" borderId="28" applyNumberFormat="0" applyFont="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17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171"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xf numFmtId="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cellStyleXfs>
  <cellXfs count="302">
    <xf numFmtId="0" fontId="0" fillId="0" borderId="0" xfId="0"/>
    <xf numFmtId="0" fontId="10" fillId="0" borderId="0" xfId="10" applyFont="1" applyAlignment="1">
      <alignment horizontal="center" vertical="center"/>
    </xf>
    <xf numFmtId="0" fontId="18" fillId="0" borderId="4" xfId="14" applyFont="1" applyBorder="1" applyAlignment="1">
      <alignment horizontal="center" vertical="center"/>
    </xf>
    <xf numFmtId="0" fontId="18" fillId="0" borderId="4" xfId="14" applyFont="1" applyBorder="1">
      <alignment vertical="center"/>
    </xf>
    <xf numFmtId="0" fontId="18" fillId="0" borderId="0" xfId="10" applyFont="1"/>
    <xf numFmtId="0" fontId="18" fillId="0" borderId="0" xfId="10" applyFont="1" applyAlignment="1">
      <alignment vertical="center"/>
    </xf>
    <xf numFmtId="0" fontId="10" fillId="0" borderId="0" xfId="14" applyFont="1">
      <alignment vertical="center"/>
    </xf>
    <xf numFmtId="0" fontId="15" fillId="0" borderId="0" xfId="14" applyFont="1" applyAlignment="1">
      <alignment horizontal="right" vertical="center"/>
    </xf>
    <xf numFmtId="0" fontId="10" fillId="0" borderId="4" xfId="14" applyFont="1" applyBorder="1" applyAlignment="1">
      <alignment horizontal="center" vertical="center"/>
    </xf>
    <xf numFmtId="0" fontId="10" fillId="0" borderId="4" xfId="14" applyFont="1" applyBorder="1">
      <alignment vertical="center"/>
    </xf>
    <xf numFmtId="0" fontId="10" fillId="0" borderId="4" xfId="14" applyFont="1" applyBorder="1" applyAlignment="1">
      <alignment horizontal="left" vertical="center"/>
    </xf>
    <xf numFmtId="0" fontId="10" fillId="0" borderId="4" xfId="14" applyFont="1" applyBorder="1" applyAlignment="1">
      <alignment vertical="top" wrapText="1"/>
    </xf>
    <xf numFmtId="0" fontId="10" fillId="0" borderId="0" xfId="10" applyFont="1"/>
    <xf numFmtId="0" fontId="15" fillId="0" borderId="8" xfId="14" applyFont="1" applyBorder="1" applyAlignment="1">
      <alignment horizontal="center" vertical="center"/>
    </xf>
    <xf numFmtId="0" fontId="15" fillId="0" borderId="4" xfId="14" applyFont="1" applyBorder="1" applyAlignment="1">
      <alignment horizontal="center" vertical="center"/>
    </xf>
    <xf numFmtId="0" fontId="18" fillId="0" borderId="0" xfId="14" applyFont="1">
      <alignment vertical="center"/>
    </xf>
    <xf numFmtId="0" fontId="23" fillId="0" borderId="4" xfId="14" applyFont="1" applyBorder="1" applyAlignment="1">
      <alignment horizontal="center" vertical="center"/>
    </xf>
    <xf numFmtId="0" fontId="23" fillId="0" borderId="4" xfId="14" applyFont="1" applyBorder="1" applyAlignment="1">
      <alignment horizontal="center" vertical="center" wrapText="1"/>
    </xf>
    <xf numFmtId="0" fontId="18" fillId="0" borderId="4" xfId="14" applyFont="1" applyBorder="1" applyAlignment="1">
      <alignment horizontal="left" vertical="center"/>
    </xf>
    <xf numFmtId="0" fontId="18" fillId="5" borderId="4" xfId="14" applyFont="1" applyFill="1" applyBorder="1" applyAlignment="1">
      <alignment horizontal="left" vertical="center"/>
    </xf>
    <xf numFmtId="0" fontId="18" fillId="0" borderId="4" xfId="14" applyFont="1" applyBorder="1" applyAlignment="1">
      <alignment vertical="top" wrapText="1"/>
    </xf>
    <xf numFmtId="0" fontId="23" fillId="0" borderId="4" xfId="14" applyFont="1" applyBorder="1">
      <alignment vertical="center"/>
    </xf>
    <xf numFmtId="0" fontId="18" fillId="0" borderId="4" xfId="10" applyFont="1" applyBorder="1" applyAlignment="1">
      <alignment horizontal="center" vertical="center"/>
    </xf>
    <xf numFmtId="0" fontId="23" fillId="0" borderId="7" xfId="10" applyFont="1" applyBorder="1" applyAlignment="1">
      <alignment horizontal="center" vertical="center" wrapText="1"/>
    </xf>
    <xf numFmtId="0" fontId="23" fillId="0" borderId="4" xfId="10" applyFont="1" applyBorder="1" applyAlignment="1">
      <alignment horizontal="center" vertical="center"/>
    </xf>
    <xf numFmtId="0" fontId="23" fillId="0" borderId="0" xfId="10" applyFont="1" applyAlignment="1">
      <alignment horizontal="left" vertical="center"/>
    </xf>
    <xf numFmtId="0" fontId="23" fillId="0" borderId="0" xfId="10" applyFont="1" applyAlignment="1">
      <alignment horizontal="right" vertical="center"/>
    </xf>
    <xf numFmtId="0" fontId="18" fillId="0" borderId="4" xfId="10" applyFont="1" applyBorder="1" applyAlignment="1">
      <alignment vertical="center"/>
    </xf>
    <xf numFmtId="0" fontId="18" fillId="0" borderId="4" xfId="0" applyFont="1" applyBorder="1" applyAlignment="1">
      <alignment vertical="center"/>
    </xf>
    <xf numFmtId="0" fontId="18" fillId="0" borderId="4" xfId="10" applyFont="1" applyBorder="1" applyAlignment="1">
      <alignment horizontal="left" vertical="center"/>
    </xf>
    <xf numFmtId="0" fontId="23" fillId="0" borderId="4" xfId="10" applyFont="1" applyBorder="1" applyAlignment="1">
      <alignment horizontal="left" vertical="center" wrapText="1"/>
    </xf>
    <xf numFmtId="0" fontId="23" fillId="0" borderId="4" xfId="10" applyFont="1" applyBorder="1" applyAlignment="1">
      <alignment horizontal="center" vertical="center" wrapText="1"/>
    </xf>
    <xf numFmtId="0" fontId="23" fillId="0" borderId="4" xfId="10" applyFont="1" applyBorder="1" applyAlignment="1">
      <alignment horizontal="left" vertical="center"/>
    </xf>
    <xf numFmtId="0" fontId="23" fillId="0" borderId="0" xfId="10" applyFont="1" applyAlignment="1">
      <alignment vertical="center"/>
    </xf>
    <xf numFmtId="0" fontId="23" fillId="0" borderId="0" xfId="14" applyFont="1" applyAlignment="1">
      <alignment horizontal="center" vertical="center"/>
    </xf>
    <xf numFmtId="0" fontId="18" fillId="0" borderId="0" xfId="10" applyFont="1" applyAlignment="1">
      <alignment horizontal="center" vertical="center"/>
    </xf>
    <xf numFmtId="0" fontId="23" fillId="0" borderId="0" xfId="10" applyFont="1" applyAlignment="1">
      <alignment horizontal="center" vertical="center"/>
    </xf>
    <xf numFmtId="0" fontId="23" fillId="0" borderId="0" xfId="14" applyFont="1">
      <alignment vertical="center"/>
    </xf>
    <xf numFmtId="0" fontId="18" fillId="0" borderId="4" xfId="10" applyFont="1" applyBorder="1" applyAlignment="1">
      <alignment horizontal="left" vertical="center" wrapText="1"/>
    </xf>
    <xf numFmtId="0" fontId="23" fillId="0" borderId="0" xfId="14" applyFont="1" applyAlignment="1">
      <alignment horizontal="center" vertical="center" wrapText="1"/>
    </xf>
    <xf numFmtId="0" fontId="23" fillId="0" borderId="4" xfId="10" applyFont="1" applyBorder="1" applyAlignment="1">
      <alignment vertical="center"/>
    </xf>
    <xf numFmtId="0" fontId="18" fillId="0" borderId="4" xfId="10" applyFont="1" applyBorder="1" applyAlignment="1">
      <alignment horizontal="right" vertical="center"/>
    </xf>
    <xf numFmtId="0" fontId="23" fillId="0" borderId="0" xfId="10" applyFont="1" applyAlignment="1">
      <alignment horizontal="centerContinuous"/>
    </xf>
    <xf numFmtId="0" fontId="18" fillId="0" borderId="0" xfId="10" applyFont="1" applyAlignment="1">
      <alignment horizontal="centerContinuous"/>
    </xf>
    <xf numFmtId="0" fontId="18" fillId="0" borderId="4" xfId="10" applyFont="1" applyBorder="1"/>
    <xf numFmtId="0" fontId="23" fillId="0" borderId="4" xfId="10" applyFont="1" applyBorder="1"/>
    <xf numFmtId="0" fontId="23" fillId="0" borderId="0" xfId="10" applyFont="1" applyAlignment="1">
      <alignment horizontal="justify" vertical="top" wrapText="1"/>
    </xf>
    <xf numFmtId="0" fontId="18" fillId="0" borderId="0" xfId="10" applyFont="1" applyAlignment="1">
      <alignment horizontal="left"/>
    </xf>
    <xf numFmtId="0" fontId="18" fillId="0" borderId="4" xfId="10" applyFont="1" applyBorder="1" applyAlignment="1">
      <alignment wrapText="1"/>
    </xf>
    <xf numFmtId="0" fontId="18" fillId="0" borderId="0" xfId="10" applyFont="1" applyAlignment="1">
      <alignment horizontal="left" vertical="center"/>
    </xf>
    <xf numFmtId="0" fontId="18" fillId="0" borderId="0" xfId="10" applyFont="1" applyAlignment="1">
      <alignment horizontal="right" vertical="center"/>
    </xf>
    <xf numFmtId="0" fontId="24" fillId="0" borderId="0" xfId="10" applyFont="1" applyAlignment="1">
      <alignment horizontal="left" vertical="center"/>
    </xf>
    <xf numFmtId="0" fontId="24" fillId="0" borderId="0" xfId="10" applyFont="1" applyAlignment="1">
      <alignment vertical="center"/>
    </xf>
    <xf numFmtId="0" fontId="24" fillId="0" borderId="0" xfId="10" applyFont="1" applyAlignment="1">
      <alignment horizontal="center" vertical="center"/>
    </xf>
    <xf numFmtId="0" fontId="18" fillId="0" borderId="4" xfId="10" quotePrefix="1" applyFont="1" applyBorder="1" applyAlignment="1">
      <alignment horizontal="left" vertical="top" wrapText="1"/>
    </xf>
    <xf numFmtId="0" fontId="18" fillId="0" borderId="4" xfId="10" applyFont="1" applyBorder="1" applyAlignment="1">
      <alignment horizontal="left"/>
    </xf>
    <xf numFmtId="0" fontId="23" fillId="0" borderId="4" xfId="10" applyFont="1" applyBorder="1" applyAlignment="1">
      <alignment horizontal="left"/>
    </xf>
    <xf numFmtId="0" fontId="18" fillId="0" borderId="0" xfId="14" applyFont="1" applyAlignment="1">
      <alignment horizontal="center" vertical="center"/>
    </xf>
    <xf numFmtId="0" fontId="18" fillId="0" borderId="4" xfId="10" applyFont="1" applyBorder="1" applyAlignment="1">
      <alignment horizontal="left" vertical="top" wrapText="1"/>
    </xf>
    <xf numFmtId="0" fontId="23" fillId="0" borderId="0" xfId="10" applyFont="1" applyAlignment="1">
      <alignment horizontal="left"/>
    </xf>
    <xf numFmtId="0" fontId="23" fillId="0" borderId="0" xfId="10" applyFont="1" applyAlignment="1">
      <alignment horizontal="right"/>
    </xf>
    <xf numFmtId="0" fontId="23" fillId="0" borderId="0" xfId="10" applyFont="1" applyAlignment="1">
      <alignment horizontal="left" vertical="center" wrapText="1"/>
    </xf>
    <xf numFmtId="0" fontId="18" fillId="0" borderId="7" xfId="10" applyFont="1" applyBorder="1" applyAlignment="1">
      <alignment horizontal="center" vertical="center"/>
    </xf>
    <xf numFmtId="0" fontId="24" fillId="0" borderId="0" xfId="10" applyFont="1" applyAlignment="1">
      <alignment horizontal="right" vertical="center"/>
    </xf>
    <xf numFmtId="0" fontId="18" fillId="0" borderId="0" xfId="10" applyFont="1" applyAlignment="1">
      <alignment horizontal="center"/>
    </xf>
    <xf numFmtId="0" fontId="23" fillId="4" borderId="13" xfId="68" applyFont="1" applyFill="1" applyBorder="1" applyAlignment="1">
      <alignment horizontal="center" vertical="center" wrapText="1"/>
    </xf>
    <xf numFmtId="0" fontId="23" fillId="4" borderId="14" xfId="68" applyFont="1" applyFill="1" applyBorder="1" applyAlignment="1">
      <alignment horizontal="center" vertical="center" wrapText="1"/>
    </xf>
    <xf numFmtId="0" fontId="15" fillId="0" borderId="0" xfId="14" applyFont="1" applyAlignment="1">
      <alignment horizontal="center" vertical="center"/>
    </xf>
    <xf numFmtId="0" fontId="23" fillId="0" borderId="9" xfId="14" applyFont="1" applyBorder="1" applyAlignment="1">
      <alignment horizontal="center" vertical="center" wrapText="1"/>
    </xf>
    <xf numFmtId="0" fontId="18" fillId="0" borderId="4" xfId="10" applyFont="1" applyBorder="1" applyAlignment="1">
      <alignment vertical="center" wrapText="1"/>
    </xf>
    <xf numFmtId="0" fontId="18" fillId="0" borderId="9" xfId="14" applyFont="1" applyBorder="1">
      <alignment vertical="center"/>
    </xf>
    <xf numFmtId="0" fontId="23" fillId="0" borderId="4" xfId="10" applyFont="1" applyBorder="1" applyAlignment="1">
      <alignment vertical="center" wrapText="1"/>
    </xf>
    <xf numFmtId="0" fontId="23" fillId="4" borderId="4" xfId="14" applyFont="1" applyFill="1" applyBorder="1" applyAlignment="1">
      <alignment horizontal="center" vertical="center" wrapText="1"/>
    </xf>
    <xf numFmtId="0" fontId="23" fillId="0" borderId="0" xfId="10" applyFont="1" applyAlignment="1">
      <alignment horizontal="centerContinuous" vertical="center"/>
    </xf>
    <xf numFmtId="0" fontId="18" fillId="0" borderId="0" xfId="10" applyFont="1" applyAlignment="1">
      <alignment horizontal="centerContinuous" vertical="center"/>
    </xf>
    <xf numFmtId="0" fontId="23" fillId="4" borderId="4" xfId="10" quotePrefix="1" applyFont="1" applyFill="1" applyBorder="1" applyAlignment="1">
      <alignment horizontal="center" vertical="center" wrapText="1"/>
    </xf>
    <xf numFmtId="0" fontId="23" fillId="4" borderId="4" xfId="10" applyFont="1" applyFill="1" applyBorder="1" applyAlignment="1">
      <alignment horizontal="left" vertical="center" wrapText="1"/>
    </xf>
    <xf numFmtId="0" fontId="23" fillId="4" borderId="4" xfId="10" applyFont="1" applyFill="1" applyBorder="1" applyAlignment="1">
      <alignment horizontal="center" vertical="center"/>
    </xf>
    <xf numFmtId="0" fontId="18" fillId="4" borderId="4" xfId="14" applyFont="1" applyFill="1" applyBorder="1">
      <alignment vertical="center"/>
    </xf>
    <xf numFmtId="0" fontId="18" fillId="4" borderId="4" xfId="10" applyFont="1" applyFill="1" applyBorder="1" applyAlignment="1">
      <alignment horizontal="center" vertical="center"/>
    </xf>
    <xf numFmtId="0" fontId="18" fillId="4" borderId="4" xfId="10" applyFont="1" applyFill="1" applyBorder="1" applyAlignment="1">
      <alignment vertical="center" wrapText="1"/>
    </xf>
    <xf numFmtId="0" fontId="23" fillId="4" borderId="4" xfId="10" applyFont="1" applyFill="1" applyBorder="1" applyAlignment="1">
      <alignment vertical="center" wrapText="1"/>
    </xf>
    <xf numFmtId="0" fontId="18" fillId="4" borderId="4" xfId="10" applyFont="1" applyFill="1" applyBorder="1" applyAlignment="1">
      <alignment vertical="center"/>
    </xf>
    <xf numFmtId="0" fontId="23" fillId="4" borderId="0" xfId="10" applyFont="1" applyFill="1" applyAlignment="1">
      <alignment vertical="center"/>
    </xf>
    <xf numFmtId="0" fontId="18" fillId="4" borderId="0" xfId="10" applyFont="1" applyFill="1" applyAlignment="1">
      <alignment vertical="center"/>
    </xf>
    <xf numFmtId="0" fontId="18" fillId="0" borderId="0" xfId="14" applyFont="1" applyAlignment="1">
      <alignment horizontal="centerContinuous" vertical="center"/>
    </xf>
    <xf numFmtId="0" fontId="23" fillId="0" borderId="4" xfId="14" applyFont="1" applyBorder="1" applyAlignment="1">
      <alignment horizontal="left" vertical="center" wrapText="1"/>
    </xf>
    <xf numFmtId="0" fontId="18" fillId="0" borderId="4" xfId="14" quotePrefix="1" applyFont="1" applyBorder="1" applyAlignment="1">
      <alignment horizontal="center" vertical="center" wrapText="1"/>
    </xf>
    <xf numFmtId="0" fontId="18" fillId="0" borderId="4" xfId="14" applyFont="1" applyBorder="1" applyAlignment="1">
      <alignment horizontal="center" vertical="center" wrapText="1"/>
    </xf>
    <xf numFmtId="0" fontId="18" fillId="0" borderId="4" xfId="14" applyFont="1" applyBorder="1" applyAlignment="1">
      <alignment horizontal="left" vertical="center" wrapText="1"/>
    </xf>
    <xf numFmtId="0" fontId="26" fillId="0" borderId="4" xfId="14" applyFont="1" applyBorder="1" applyAlignment="1">
      <alignment horizontal="center" vertical="center" wrapText="1"/>
    </xf>
    <xf numFmtId="0" fontId="18" fillId="0" borderId="4" xfId="14" applyFont="1" applyBorder="1" applyAlignment="1">
      <alignment vertical="center" wrapText="1"/>
    </xf>
    <xf numFmtId="0" fontId="23" fillId="0" borderId="4" xfId="14" applyFont="1" applyBorder="1" applyAlignment="1">
      <alignment vertical="center" wrapText="1"/>
    </xf>
    <xf numFmtId="0" fontId="23" fillId="0" borderId="0" xfId="14" applyFont="1" applyAlignment="1">
      <alignment horizontal="left" vertical="center" wrapText="1"/>
    </xf>
    <xf numFmtId="0" fontId="18" fillId="0" borderId="0" xfId="14" quotePrefix="1" applyFont="1" applyAlignment="1">
      <alignment horizontal="center" vertical="center" wrapText="1"/>
    </xf>
    <xf numFmtId="0" fontId="18" fillId="0" borderId="0" xfId="10" applyFont="1" applyAlignment="1">
      <alignment horizontal="center" vertical="center" wrapText="1"/>
    </xf>
    <xf numFmtId="0" fontId="27" fillId="0" borderId="0" xfId="10" applyFont="1" applyAlignment="1">
      <alignment horizontal="left" vertical="center"/>
    </xf>
    <xf numFmtId="0" fontId="18" fillId="0" borderId="0" xfId="10" applyFont="1" applyAlignment="1">
      <alignment horizontal="justify" vertical="center" wrapText="1"/>
    </xf>
    <xf numFmtId="0" fontId="18" fillId="0" borderId="0" xfId="0" applyFont="1" applyAlignment="1">
      <alignment vertical="center"/>
    </xf>
    <xf numFmtId="0" fontId="18" fillId="0" borderId="0" xfId="0" applyFont="1" applyAlignment="1">
      <alignment horizontal="center" vertical="center"/>
    </xf>
    <xf numFmtId="0" fontId="23" fillId="0" borderId="0" xfId="0" applyFont="1" applyAlignment="1">
      <alignment vertical="center"/>
    </xf>
    <xf numFmtId="0" fontId="23" fillId="0" borderId="4" xfId="0" applyFont="1" applyBorder="1" applyAlignment="1">
      <alignment horizontal="center" vertical="center"/>
    </xf>
    <xf numFmtId="0" fontId="18" fillId="0" borderId="4" xfId="0" applyFont="1" applyBorder="1" applyAlignment="1">
      <alignment horizontal="center" vertical="center"/>
    </xf>
    <xf numFmtId="0" fontId="23" fillId="0" borderId="4" xfId="0" applyFont="1" applyBorder="1" applyAlignment="1">
      <alignment vertical="center"/>
    </xf>
    <xf numFmtId="0" fontId="18" fillId="0" borderId="4" xfId="0" applyFont="1" applyBorder="1" applyAlignment="1">
      <alignment vertical="center" wrapText="1"/>
    </xf>
    <xf numFmtId="0" fontId="28" fillId="0" borderId="4" xfId="0" applyFont="1" applyBorder="1" applyAlignment="1">
      <alignment vertical="center"/>
    </xf>
    <xf numFmtId="0" fontId="28" fillId="0" borderId="7" xfId="0" applyFont="1" applyBorder="1" applyAlignment="1">
      <alignment vertical="center"/>
    </xf>
    <xf numFmtId="0" fontId="29" fillId="0" borderId="4" xfId="0" applyFont="1" applyBorder="1" applyAlignment="1">
      <alignment horizontal="center" vertical="center"/>
    </xf>
    <xf numFmtId="0" fontId="28" fillId="0" borderId="4" xfId="0" applyFont="1" applyBorder="1" applyAlignment="1">
      <alignment horizontal="center" vertical="center"/>
    </xf>
    <xf numFmtId="0" fontId="28" fillId="0" borderId="7" xfId="0" applyFont="1" applyBorder="1" applyAlignment="1">
      <alignment horizontal="center" vertical="center"/>
    </xf>
    <xf numFmtId="0" fontId="30" fillId="0" borderId="0" xfId="10" applyFont="1" applyAlignment="1">
      <alignment vertical="center"/>
    </xf>
    <xf numFmtId="16" fontId="23" fillId="0" borderId="4" xfId="10" applyNumberFormat="1" applyFont="1" applyBorder="1" applyAlignment="1">
      <alignment horizontal="center" vertical="center" wrapText="1"/>
    </xf>
    <xf numFmtId="0" fontId="23" fillId="0" borderId="8" xfId="0" applyFont="1" applyBorder="1" applyAlignment="1">
      <alignment horizontal="center" vertical="center" wrapText="1"/>
    </xf>
    <xf numFmtId="0" fontId="23" fillId="0" borderId="8" xfId="0" applyFont="1" applyBorder="1" applyAlignment="1">
      <alignment horizontal="center" vertical="center"/>
    </xf>
    <xf numFmtId="0" fontId="18" fillId="0" borderId="8" xfId="0" applyFont="1" applyBorder="1" applyAlignment="1">
      <alignment horizontal="center" vertical="center" wrapText="1"/>
    </xf>
    <xf numFmtId="0" fontId="18" fillId="0" borderId="8" xfId="0" applyFont="1" applyBorder="1" applyAlignment="1">
      <alignment vertical="center" wrapText="1"/>
    </xf>
    <xf numFmtId="2" fontId="18" fillId="0" borderId="4" xfId="0" applyNumberFormat="1" applyFont="1" applyBorder="1" applyAlignment="1">
      <alignment horizontal="center" vertical="center"/>
    </xf>
    <xf numFmtId="2" fontId="18" fillId="0" borderId="4" xfId="0" applyNumberFormat="1" applyFont="1" applyBorder="1" applyAlignment="1">
      <alignment vertical="center"/>
    </xf>
    <xf numFmtId="0" fontId="18" fillId="0" borderId="4" xfId="0" applyFont="1" applyBorder="1" applyAlignment="1">
      <alignment horizontal="center" vertical="center" wrapText="1"/>
    </xf>
    <xf numFmtId="169" fontId="18" fillId="0" borderId="4" xfId="0" applyNumberFormat="1" applyFont="1" applyBorder="1" applyAlignment="1">
      <alignment horizontal="center" vertical="center"/>
    </xf>
    <xf numFmtId="1" fontId="18" fillId="0" borderId="4" xfId="0" applyNumberFormat="1" applyFont="1" applyBorder="1" applyAlignment="1">
      <alignment vertical="center"/>
    </xf>
    <xf numFmtId="2" fontId="18" fillId="0" borderId="4" xfId="0" applyNumberFormat="1" applyFont="1" applyBorder="1" applyAlignment="1">
      <alignment horizontal="right" vertical="center"/>
    </xf>
    <xf numFmtId="0" fontId="23" fillId="0" borderId="9" xfId="0" applyFont="1" applyBorder="1" applyAlignment="1">
      <alignment vertical="center" wrapText="1"/>
    </xf>
    <xf numFmtId="2" fontId="23" fillId="0" borderId="4" xfId="0" applyNumberFormat="1" applyFont="1" applyBorder="1" applyAlignment="1">
      <alignment vertical="center"/>
    </xf>
    <xf numFmtId="0" fontId="23" fillId="0" borderId="4" xfId="0" applyFont="1" applyBorder="1" applyAlignment="1">
      <alignment vertical="center" wrapText="1"/>
    </xf>
    <xf numFmtId="2" fontId="23" fillId="0" borderId="4" xfId="0" applyNumberFormat="1" applyFont="1" applyBorder="1" applyAlignment="1">
      <alignment horizontal="right" vertical="center"/>
    </xf>
    <xf numFmtId="2" fontId="18" fillId="0" borderId="4" xfId="10" applyNumberFormat="1" applyFont="1" applyBorder="1" applyAlignment="1">
      <alignment horizontal="center" vertical="center"/>
    </xf>
    <xf numFmtId="0" fontId="23" fillId="6" borderId="4" xfId="0" applyFont="1" applyFill="1" applyBorder="1" applyAlignment="1">
      <alignment vertical="center"/>
    </xf>
    <xf numFmtId="2" fontId="23" fillId="6" borderId="4" xfId="0" applyNumberFormat="1" applyFont="1" applyFill="1" applyBorder="1" applyAlignment="1">
      <alignment vertical="center"/>
    </xf>
    <xf numFmtId="2" fontId="23" fillId="6" borderId="4" xfId="0" applyNumberFormat="1" applyFont="1" applyFill="1" applyBorder="1" applyAlignment="1">
      <alignment horizontal="right" vertical="center"/>
    </xf>
    <xf numFmtId="2" fontId="23" fillId="6" borderId="4" xfId="14" applyNumberFormat="1" applyFont="1" applyFill="1" applyBorder="1">
      <alignment vertical="center"/>
    </xf>
    <xf numFmtId="2" fontId="23" fillId="6" borderId="4" xfId="10" applyNumberFormat="1" applyFont="1" applyFill="1" applyBorder="1" applyAlignment="1">
      <alignment vertical="center"/>
    </xf>
    <xf numFmtId="0" fontId="23" fillId="0" borderId="9" xfId="14" applyFont="1" applyBorder="1">
      <alignment vertical="center"/>
    </xf>
    <xf numFmtId="2" fontId="23" fillId="6" borderId="9" xfId="14" applyNumberFormat="1" applyFont="1" applyFill="1" applyBorder="1">
      <alignment vertical="center"/>
    </xf>
    <xf numFmtId="10" fontId="18" fillId="0" borderId="9" xfId="39" applyNumberFormat="1" applyFont="1" applyBorder="1" applyAlignment="1">
      <alignment vertical="center"/>
    </xf>
    <xf numFmtId="10" fontId="18" fillId="0" borderId="9" xfId="14" applyNumberFormat="1" applyFont="1" applyBorder="1">
      <alignment vertical="center"/>
    </xf>
    <xf numFmtId="10" fontId="23" fillId="6" borderId="9" xfId="14" applyNumberFormat="1" applyFont="1" applyFill="1" applyBorder="1">
      <alignment vertical="center"/>
    </xf>
    <xf numFmtId="2" fontId="18" fillId="0" borderId="9" xfId="14" applyNumberFormat="1" applyFont="1" applyBorder="1">
      <alignment vertical="center"/>
    </xf>
    <xf numFmtId="2" fontId="18" fillId="0" borderId="4" xfId="10" applyNumberFormat="1" applyFont="1" applyBorder="1" applyAlignment="1">
      <alignment vertical="center"/>
    </xf>
    <xf numFmtId="2" fontId="18" fillId="0" borderId="4" xfId="14" applyNumberFormat="1" applyFont="1" applyBorder="1" applyAlignment="1">
      <alignment horizontal="center" vertical="center"/>
    </xf>
    <xf numFmtId="2" fontId="23" fillId="6" borderId="4" xfId="14" applyNumberFormat="1" applyFont="1" applyFill="1" applyBorder="1" applyAlignment="1">
      <alignment horizontal="center" vertical="center"/>
    </xf>
    <xf numFmtId="2" fontId="18" fillId="0" borderId="4" xfId="14" applyNumberFormat="1" applyFont="1" applyBorder="1">
      <alignment vertical="center"/>
    </xf>
    <xf numFmtId="10" fontId="23" fillId="6" borderId="4" xfId="14" applyNumberFormat="1" applyFont="1" applyFill="1" applyBorder="1">
      <alignment vertical="center"/>
    </xf>
    <xf numFmtId="2" fontId="23" fillId="6" borderId="4" xfId="10" applyNumberFormat="1" applyFont="1" applyFill="1" applyBorder="1"/>
    <xf numFmtId="2" fontId="18" fillId="0" borderId="4" xfId="10" applyNumberFormat="1" applyFont="1" applyBorder="1" applyAlignment="1">
      <alignment horizontal="right" vertical="center"/>
    </xf>
    <xf numFmtId="2" fontId="23" fillId="0" borderId="4" xfId="14" applyNumberFormat="1" applyFont="1" applyBorder="1" applyAlignment="1">
      <alignment horizontal="center" vertical="center"/>
    </xf>
    <xf numFmtId="2" fontId="23" fillId="5" borderId="4" xfId="14" applyNumberFormat="1" applyFont="1" applyFill="1" applyBorder="1" applyAlignment="1">
      <alignment horizontal="center" vertical="center"/>
    </xf>
    <xf numFmtId="0" fontId="18" fillId="0" borderId="4" xfId="14" applyFont="1" applyBorder="1" applyAlignment="1">
      <alignment horizontal="right" vertical="center"/>
    </xf>
    <xf numFmtId="2" fontId="23" fillId="0" borderId="4" xfId="10" applyNumberFormat="1" applyFont="1" applyBorder="1" applyAlignment="1">
      <alignment vertical="center"/>
    </xf>
    <xf numFmtId="2" fontId="18" fillId="0" borderId="4" xfId="14" applyNumberFormat="1" applyFont="1" applyBorder="1" applyAlignment="1">
      <alignment horizontal="right" vertical="center"/>
    </xf>
    <xf numFmtId="2" fontId="18" fillId="0" borderId="4" xfId="10" applyNumberFormat="1" applyFont="1" applyBorder="1" applyAlignment="1">
      <alignment horizontal="right" vertical="center" wrapText="1"/>
    </xf>
    <xf numFmtId="0" fontId="18" fillId="0" borderId="9" xfId="14" applyFont="1" applyBorder="1" applyAlignment="1">
      <alignment horizontal="right" vertical="center"/>
    </xf>
    <xf numFmtId="2" fontId="23" fillId="6" borderId="9" xfId="14" applyNumberFormat="1" applyFont="1" applyFill="1" applyBorder="1" applyAlignment="1">
      <alignment horizontal="right" vertical="center"/>
    </xf>
    <xf numFmtId="2" fontId="18" fillId="6" borderId="9" xfId="14" applyNumberFormat="1" applyFont="1" applyFill="1" applyBorder="1">
      <alignment vertical="center"/>
    </xf>
    <xf numFmtId="2" fontId="18" fillId="0" borderId="4" xfId="10" applyNumberFormat="1" applyFont="1" applyBorder="1"/>
    <xf numFmtId="2" fontId="18" fillId="0" borderId="4" xfId="10" applyNumberFormat="1" applyFont="1" applyBorder="1" applyAlignment="1">
      <alignment vertical="top" wrapText="1"/>
    </xf>
    <xf numFmtId="2" fontId="23" fillId="0" borderId="4" xfId="10" applyNumberFormat="1" applyFont="1" applyBorder="1" applyAlignment="1">
      <alignment vertical="top" wrapText="1"/>
    </xf>
    <xf numFmtId="171" fontId="23" fillId="6" borderId="4" xfId="0" applyNumberFormat="1" applyFont="1" applyFill="1" applyBorder="1" applyAlignment="1">
      <alignment vertical="center"/>
    </xf>
    <xf numFmtId="171" fontId="18" fillId="0" borderId="4" xfId="0" applyNumberFormat="1" applyFont="1" applyBorder="1" applyAlignment="1">
      <alignment vertical="center"/>
    </xf>
    <xf numFmtId="171" fontId="23" fillId="6" borderId="4" xfId="14" applyNumberFormat="1" applyFont="1" applyFill="1" applyBorder="1" applyAlignment="1">
      <alignment horizontal="center" vertical="center"/>
    </xf>
    <xf numFmtId="10" fontId="18" fillId="0" borderId="0" xfId="14" applyNumberFormat="1" applyFont="1">
      <alignment vertical="center"/>
    </xf>
    <xf numFmtId="2" fontId="18" fillId="0" borderId="9" xfId="14" applyNumberFormat="1" applyFont="1" applyBorder="1" applyAlignment="1">
      <alignment horizontal="right" vertical="center"/>
    </xf>
    <xf numFmtId="2" fontId="18" fillId="6" borderId="4" xfId="10" applyNumberFormat="1" applyFont="1" applyFill="1" applyBorder="1" applyAlignment="1">
      <alignment horizontal="right" vertical="center"/>
    </xf>
    <xf numFmtId="2" fontId="18" fillId="6" borderId="4" xfId="10" applyNumberFormat="1" applyFont="1" applyFill="1" applyBorder="1" applyAlignment="1">
      <alignment horizontal="right" vertical="center" wrapText="1"/>
    </xf>
    <xf numFmtId="2" fontId="23" fillId="6" borderId="4" xfId="10" applyNumberFormat="1" applyFont="1" applyFill="1" applyBorder="1" applyAlignment="1">
      <alignment horizontal="right" vertical="center"/>
    </xf>
    <xf numFmtId="1" fontId="18" fillId="0" borderId="0" xfId="14" applyNumberFormat="1" applyFont="1">
      <alignment vertical="center"/>
    </xf>
    <xf numFmtId="2" fontId="23" fillId="0" borderId="4" xfId="10" applyNumberFormat="1" applyFont="1" applyBorder="1" applyAlignment="1">
      <alignment vertical="center" wrapText="1"/>
    </xf>
    <xf numFmtId="4" fontId="18" fillId="0" borderId="0" xfId="10" applyNumberFormat="1" applyFont="1" applyAlignment="1">
      <alignment vertical="center"/>
    </xf>
    <xf numFmtId="0" fontId="28" fillId="0" borderId="4" xfId="0" applyFont="1" applyBorder="1"/>
    <xf numFmtId="170" fontId="18" fillId="0" borderId="0" xfId="10" applyNumberFormat="1" applyFont="1" applyAlignment="1">
      <alignment vertical="center"/>
    </xf>
    <xf numFmtId="0" fontId="0" fillId="0" borderId="4" xfId="0" applyBorder="1"/>
    <xf numFmtId="43" fontId="18" fillId="0" borderId="4" xfId="71" applyFont="1" applyBorder="1" applyAlignment="1">
      <alignment horizontal="center" vertical="center"/>
    </xf>
    <xf numFmtId="43" fontId="18" fillId="0" borderId="4" xfId="71" applyFont="1" applyBorder="1" applyAlignment="1">
      <alignment vertical="center"/>
    </xf>
    <xf numFmtId="43" fontId="0" fillId="0" borderId="4" xfId="71" applyFont="1" applyBorder="1"/>
    <xf numFmtId="1" fontId="11" fillId="0" borderId="4" xfId="0" applyNumberFormat="1" applyFont="1" applyBorder="1" applyAlignment="1">
      <alignment vertical="center"/>
    </xf>
    <xf numFmtId="2" fontId="11" fillId="0" borderId="4" xfId="0" applyNumberFormat="1" applyFont="1" applyBorder="1" applyAlignment="1">
      <alignment vertical="center"/>
    </xf>
    <xf numFmtId="0" fontId="11" fillId="0" borderId="4" xfId="0" applyFont="1" applyBorder="1" applyAlignment="1">
      <alignment vertical="center"/>
    </xf>
    <xf numFmtId="0" fontId="11" fillId="0" borderId="4" xfId="0" applyFont="1" applyBorder="1" applyAlignment="1">
      <alignment horizontal="center" vertical="center"/>
    </xf>
    <xf numFmtId="2" fontId="35" fillId="0" borderId="4" xfId="10" applyNumberFormat="1" applyFont="1" applyBorder="1" applyAlignment="1">
      <alignment horizontal="center" vertical="center"/>
    </xf>
    <xf numFmtId="0" fontId="35" fillId="0" borderId="8" xfId="10" applyFont="1" applyBorder="1" applyAlignment="1">
      <alignment horizontal="center" vertical="center" wrapText="1"/>
    </xf>
    <xf numFmtId="0" fontId="35" fillId="0" borderId="4" xfId="10" applyFont="1" applyBorder="1" applyAlignment="1">
      <alignment vertical="center" wrapText="1"/>
    </xf>
    <xf numFmtId="0" fontId="35" fillId="0" borderId="4" xfId="10" applyFont="1" applyBorder="1" applyAlignment="1">
      <alignment horizontal="center" vertical="center" wrapText="1"/>
    </xf>
    <xf numFmtId="2" fontId="34" fillId="0" borderId="4" xfId="10" applyNumberFormat="1" applyFont="1" applyBorder="1" applyAlignment="1">
      <alignment vertical="center"/>
    </xf>
    <xf numFmtId="10" fontId="25" fillId="0" borderId="30" xfId="0" applyNumberFormat="1" applyFont="1" applyBorder="1"/>
    <xf numFmtId="2" fontId="23" fillId="6" borderId="19" xfId="19" applyNumberFormat="1" applyFont="1" applyFill="1" applyBorder="1" applyAlignment="1">
      <alignment horizontal="right" vertical="center"/>
    </xf>
    <xf numFmtId="0" fontId="11" fillId="0" borderId="30" xfId="0" applyFont="1" applyBorder="1" applyAlignment="1">
      <alignment vertical="center"/>
    </xf>
    <xf numFmtId="2" fontId="11" fillId="0" borderId="30" xfId="0" applyNumberFormat="1" applyFont="1" applyBorder="1" applyAlignment="1">
      <alignment vertical="center"/>
    </xf>
    <xf numFmtId="1" fontId="11" fillId="0" borderId="30" xfId="0" applyNumberFormat="1" applyFont="1" applyBorder="1" applyAlignment="1">
      <alignment vertical="center"/>
    </xf>
    <xf numFmtId="0" fontId="25" fillId="0" borderId="30" xfId="0" applyFont="1" applyBorder="1" applyAlignment="1">
      <alignment wrapText="1"/>
    </xf>
    <xf numFmtId="43" fontId="25" fillId="0" borderId="30" xfId="0" applyNumberFormat="1" applyFont="1" applyBorder="1"/>
    <xf numFmtId="43" fontId="18" fillId="0" borderId="30" xfId="0" applyNumberFormat="1" applyFont="1" applyBorder="1"/>
    <xf numFmtId="10" fontId="18" fillId="0" borderId="30" xfId="0" applyNumberFormat="1" applyFont="1" applyBorder="1"/>
    <xf numFmtId="43" fontId="18" fillId="0" borderId="31" xfId="0" applyNumberFormat="1" applyFont="1" applyBorder="1"/>
    <xf numFmtId="0" fontId="18" fillId="0" borderId="30" xfId="0" applyFont="1" applyBorder="1"/>
    <xf numFmtId="0" fontId="25" fillId="0" borderId="30" xfId="0" applyFont="1" applyBorder="1"/>
    <xf numFmtId="2" fontId="23" fillId="6" borderId="18" xfId="19" applyNumberFormat="1" applyFont="1" applyFill="1" applyBorder="1" applyAlignment="1">
      <alignment horizontal="right" vertical="center"/>
    </xf>
    <xf numFmtId="9" fontId="25" fillId="0" borderId="30" xfId="0" applyNumberFormat="1" applyFont="1" applyBorder="1"/>
    <xf numFmtId="10" fontId="25" fillId="0" borderId="0" xfId="0" applyNumberFormat="1" applyFont="1"/>
    <xf numFmtId="2" fontId="23" fillId="6" borderId="13" xfId="19" applyNumberFormat="1" applyFont="1" applyFill="1" applyBorder="1" applyAlignment="1">
      <alignment horizontal="right" vertical="center"/>
    </xf>
    <xf numFmtId="0" fontId="18" fillId="0" borderId="30" xfId="0" applyFont="1" applyBorder="1" applyAlignment="1">
      <alignment wrapText="1"/>
    </xf>
    <xf numFmtId="1" fontId="11" fillId="0" borderId="20" xfId="0" applyNumberFormat="1" applyFont="1" applyBorder="1" applyAlignment="1">
      <alignment vertical="center"/>
    </xf>
    <xf numFmtId="2" fontId="35" fillId="0" borderId="20" xfId="10" applyNumberFormat="1" applyFont="1" applyBorder="1" applyAlignment="1">
      <alignment horizontal="right" vertical="center"/>
    </xf>
    <xf numFmtId="171" fontId="35" fillId="0" borderId="20" xfId="10" applyNumberFormat="1" applyFont="1" applyBorder="1" applyAlignment="1">
      <alignment horizontal="right" vertical="center"/>
    </xf>
    <xf numFmtId="2" fontId="35" fillId="0" borderId="20" xfId="10" applyNumberFormat="1" applyFont="1" applyBorder="1" applyAlignment="1">
      <alignment horizontal="center" vertical="center"/>
    </xf>
    <xf numFmtId="2" fontId="11" fillId="0" borderId="20" xfId="0" applyNumberFormat="1" applyFont="1" applyBorder="1" applyAlignment="1">
      <alignment vertical="center"/>
    </xf>
    <xf numFmtId="0" fontId="18" fillId="0" borderId="20" xfId="0" applyFont="1" applyBorder="1" applyAlignment="1">
      <alignment horizontal="center" vertical="center"/>
    </xf>
    <xf numFmtId="0" fontId="11" fillId="0" borderId="20" xfId="0" applyFont="1" applyBorder="1" applyAlignment="1">
      <alignment horizontal="center" vertical="center"/>
    </xf>
    <xf numFmtId="0" fontId="11" fillId="0" borderId="20" xfId="0" applyFont="1" applyBorder="1" applyAlignment="1">
      <alignment vertical="center"/>
    </xf>
    <xf numFmtId="2" fontId="23" fillId="0" borderId="30" xfId="10" applyNumberFormat="1" applyFont="1" applyBorder="1" applyAlignment="1">
      <alignment vertical="center"/>
    </xf>
    <xf numFmtId="0" fontId="23" fillId="0" borderId="30" xfId="10" applyFont="1" applyBorder="1" applyAlignment="1">
      <alignment vertical="center" wrapText="1"/>
    </xf>
    <xf numFmtId="0" fontId="10" fillId="0" borderId="8" xfId="0" applyFont="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horizontal="center" vertical="center" wrapText="1"/>
    </xf>
    <xf numFmtId="2" fontId="10" fillId="0" borderId="4" xfId="0" applyNumberFormat="1" applyFont="1" applyBorder="1" applyAlignment="1">
      <alignment horizontal="center" vertical="center"/>
    </xf>
    <xf numFmtId="2" fontId="10" fillId="0" borderId="4" xfId="0" applyNumberFormat="1" applyFont="1" applyBorder="1" applyAlignment="1">
      <alignment vertical="center"/>
    </xf>
    <xf numFmtId="0" fontId="35" fillId="0" borderId="8" xfId="0" applyFont="1" applyBorder="1" applyAlignment="1">
      <alignment horizontal="center" vertical="center" wrapText="1"/>
    </xf>
    <xf numFmtId="0" fontId="35" fillId="0" borderId="4" xfId="0" applyFont="1" applyBorder="1" applyAlignment="1">
      <alignment vertical="center" wrapText="1"/>
    </xf>
    <xf numFmtId="0" fontId="35" fillId="0" borderId="4" xfId="0" applyFont="1" applyBorder="1" applyAlignment="1">
      <alignment horizontal="center" vertical="center" wrapText="1"/>
    </xf>
    <xf numFmtId="2" fontId="34" fillId="6" borderId="4" xfId="0" applyNumberFormat="1" applyFont="1" applyFill="1" applyBorder="1" applyAlignment="1">
      <alignment horizontal="right" vertical="center"/>
    </xf>
    <xf numFmtId="0" fontId="35" fillId="0" borderId="0" xfId="14" applyFont="1">
      <alignment vertical="center"/>
    </xf>
    <xf numFmtId="0" fontId="0" fillId="0" borderId="30" xfId="0" applyBorder="1" applyAlignment="1">
      <alignment horizontal="center"/>
    </xf>
    <xf numFmtId="2" fontId="0" fillId="0" borderId="30" xfId="0" applyNumberFormat="1" applyBorder="1" applyAlignment="1">
      <alignment horizontal="center"/>
    </xf>
    <xf numFmtId="1" fontId="0" fillId="0" borderId="30" xfId="0" applyNumberFormat="1" applyBorder="1"/>
    <xf numFmtId="2" fontId="23" fillId="6" borderId="30" xfId="14" applyNumberFormat="1" applyFont="1" applyFill="1" applyBorder="1" applyAlignment="1">
      <alignment horizontal="center" vertical="center"/>
    </xf>
    <xf numFmtId="2" fontId="0" fillId="0" borderId="30" xfId="0" applyNumberFormat="1" applyBorder="1"/>
    <xf numFmtId="0" fontId="23" fillId="0" borderId="30" xfId="10" applyFont="1" applyBorder="1" applyAlignment="1">
      <alignment vertical="center"/>
    </xf>
    <xf numFmtId="0" fontId="18" fillId="0" borderId="30" xfId="10" applyFont="1" applyBorder="1" applyAlignment="1">
      <alignment horizontal="center" vertical="center"/>
    </xf>
    <xf numFmtId="0" fontId="18" fillId="0" borderId="30" xfId="10" applyFont="1" applyBorder="1" applyAlignment="1">
      <alignment vertical="center"/>
    </xf>
    <xf numFmtId="2" fontId="18" fillId="0" borderId="30" xfId="10" applyNumberFormat="1" applyFont="1" applyBorder="1" applyAlignment="1">
      <alignment vertical="center"/>
    </xf>
    <xf numFmtId="43" fontId="25" fillId="0" borderId="32" xfId="0" applyNumberFormat="1" applyFont="1" applyBorder="1"/>
    <xf numFmtId="43" fontId="18" fillId="0" borderId="32" xfId="0" applyNumberFormat="1" applyFont="1" applyBorder="1"/>
    <xf numFmtId="4" fontId="25" fillId="0" borderId="32" xfId="0" applyNumberFormat="1" applyFont="1" applyBorder="1"/>
    <xf numFmtId="4" fontId="18" fillId="0" borderId="0" xfId="10" applyNumberFormat="1" applyFont="1" applyAlignment="1">
      <alignment horizontal="right" vertical="center"/>
    </xf>
    <xf numFmtId="0" fontId="18" fillId="4" borderId="12" xfId="68" applyFont="1" applyFill="1" applyBorder="1" applyAlignment="1">
      <alignment horizontal="right" vertical="center"/>
    </xf>
    <xf numFmtId="0" fontId="23" fillId="4" borderId="13" xfId="68" applyFont="1" applyFill="1" applyBorder="1" applyAlignment="1">
      <alignment horizontal="right" vertical="center"/>
    </xf>
    <xf numFmtId="10" fontId="23" fillId="6" borderId="13" xfId="68" applyNumberFormat="1" applyFont="1" applyFill="1" applyBorder="1" applyAlignment="1">
      <alignment horizontal="right" vertical="center"/>
    </xf>
    <xf numFmtId="2" fontId="53" fillId="0" borderId="30" xfId="0" applyNumberFormat="1" applyFont="1" applyBorder="1"/>
    <xf numFmtId="2" fontId="23" fillId="0" borderId="4" xfId="14" applyNumberFormat="1" applyFont="1" applyBorder="1" applyAlignment="1">
      <alignment horizontal="center" vertical="center" wrapText="1"/>
    </xf>
    <xf numFmtId="0" fontId="18" fillId="0" borderId="32" xfId="14" applyFont="1" applyBorder="1">
      <alignment vertical="center"/>
    </xf>
    <xf numFmtId="0" fontId="23" fillId="0" borderId="4" xfId="10" applyFont="1" applyBorder="1" applyAlignment="1">
      <alignment horizontal="center" vertical="center" wrapText="1"/>
    </xf>
    <xf numFmtId="0" fontId="23" fillId="0" borderId="0" xfId="10" applyFont="1" applyAlignment="1">
      <alignment horizontal="center" vertical="center"/>
    </xf>
    <xf numFmtId="0" fontId="54" fillId="0" borderId="0" xfId="0" applyFont="1" applyAlignment="1">
      <alignment horizontal="center" vertical="center"/>
    </xf>
    <xf numFmtId="0" fontId="54" fillId="0" borderId="0" xfId="10" applyFont="1" applyAlignment="1">
      <alignment horizontal="center" vertical="center"/>
    </xf>
    <xf numFmtId="0" fontId="18" fillId="4" borderId="32" xfId="14" applyFont="1" applyFill="1" applyBorder="1" applyAlignment="1">
      <alignment horizontal="center" vertical="center" wrapText="1"/>
    </xf>
    <xf numFmtId="0" fontId="54" fillId="0" borderId="0" xfId="14" applyFont="1" applyAlignment="1">
      <alignment horizontal="center" vertical="center"/>
    </xf>
    <xf numFmtId="0" fontId="15" fillId="0" borderId="0" xfId="14" applyFont="1" applyAlignment="1">
      <alignment horizontal="center" vertical="center"/>
    </xf>
    <xf numFmtId="0" fontId="10" fillId="0" borderId="0" xfId="10" applyFont="1" applyAlignment="1">
      <alignment horizontal="center" vertical="center"/>
    </xf>
    <xf numFmtId="0" fontId="15" fillId="0" borderId="0" xfId="10" applyFont="1" applyAlignment="1">
      <alignment horizontal="center" vertical="center" wrapText="1"/>
    </xf>
    <xf numFmtId="0" fontId="10" fillId="0" borderId="0" xfId="10" applyFont="1" applyAlignment="1">
      <alignment horizontal="center" vertical="center" wrapText="1"/>
    </xf>
    <xf numFmtId="0" fontId="23" fillId="0" borderId="0" xfId="10" applyFont="1" applyAlignment="1">
      <alignment horizontal="center" vertical="center"/>
    </xf>
    <xf numFmtId="0" fontId="23" fillId="0" borderId="8" xfId="14" applyFont="1" applyBorder="1" applyAlignment="1">
      <alignment horizontal="center" vertical="center"/>
    </xf>
    <xf numFmtId="0" fontId="23" fillId="0" borderId="10" xfId="14" applyFont="1" applyBorder="1" applyAlignment="1">
      <alignment horizontal="center" vertical="center"/>
    </xf>
    <xf numFmtId="0" fontId="23" fillId="0" borderId="7" xfId="14" applyFont="1" applyBorder="1" applyAlignment="1">
      <alignment horizontal="center" vertical="center"/>
    </xf>
    <xf numFmtId="0" fontId="23" fillId="0" borderId="8" xfId="14" applyFont="1" applyBorder="1" applyAlignment="1">
      <alignment horizontal="center" vertical="center" wrapText="1"/>
    </xf>
    <xf numFmtId="0" fontId="23" fillId="0" borderId="10" xfId="14" applyFont="1" applyBorder="1" applyAlignment="1">
      <alignment horizontal="center" vertical="center" wrapText="1"/>
    </xf>
    <xf numFmtId="0" fontId="18" fillId="0" borderId="7" xfId="10" applyFont="1" applyBorder="1" applyAlignment="1">
      <alignment horizontal="center" vertical="center" wrapText="1"/>
    </xf>
    <xf numFmtId="0" fontId="23" fillId="0" borderId="4" xfId="14" applyFont="1" applyBorder="1" applyAlignment="1">
      <alignment horizontal="center" vertical="center"/>
    </xf>
    <xf numFmtId="0" fontId="18" fillId="0" borderId="4" xfId="10" applyFont="1" applyBorder="1" applyAlignment="1">
      <alignment horizontal="center" vertical="center"/>
    </xf>
    <xf numFmtId="0" fontId="23" fillId="0" borderId="4" xfId="14" applyFont="1" applyBorder="1" applyAlignment="1">
      <alignment horizontal="center" vertical="center" wrapText="1"/>
    </xf>
    <xf numFmtId="0" fontId="18" fillId="0" borderId="4" xfId="10" applyFont="1" applyBorder="1" applyAlignment="1">
      <alignment horizontal="center" vertical="center" wrapText="1"/>
    </xf>
    <xf numFmtId="0" fontId="23" fillId="0" borderId="6" xfId="14" applyFont="1" applyBorder="1" applyAlignment="1">
      <alignment horizontal="center" vertical="center" wrapText="1"/>
    </xf>
    <xf numFmtId="0" fontId="23" fillId="0" borderId="3" xfId="14" applyFont="1" applyBorder="1" applyAlignment="1">
      <alignment horizontal="center" vertical="center" wrapText="1"/>
    </xf>
    <xf numFmtId="0" fontId="23" fillId="0" borderId="9" xfId="14" applyFont="1" applyBorder="1" applyAlignment="1">
      <alignment horizontal="center" vertical="center" wrapText="1"/>
    </xf>
    <xf numFmtId="0" fontId="23" fillId="0" borderId="0" xfId="10" applyFont="1" applyAlignment="1">
      <alignment horizontal="left" vertical="center"/>
    </xf>
    <xf numFmtId="0" fontId="23" fillId="0" borderId="4" xfId="10" applyFont="1" applyBorder="1" applyAlignment="1">
      <alignment horizontal="center" vertical="center" wrapText="1"/>
    </xf>
    <xf numFmtId="0" fontId="23" fillId="0" borderId="8" xfId="10" applyFont="1" applyBorder="1" applyAlignment="1">
      <alignment horizontal="center" vertical="center" wrapText="1"/>
    </xf>
    <xf numFmtId="0" fontId="23" fillId="0" borderId="10" xfId="10" applyFont="1" applyBorder="1" applyAlignment="1">
      <alignment horizontal="center" vertical="center" wrapText="1"/>
    </xf>
    <xf numFmtId="0" fontId="23" fillId="0" borderId="7" xfId="10" applyFont="1" applyBorder="1" applyAlignment="1">
      <alignment horizontal="center" vertical="center" wrapText="1"/>
    </xf>
    <xf numFmtId="0" fontId="18" fillId="0" borderId="4" xfId="10" applyFont="1" applyBorder="1" applyAlignment="1">
      <alignment vertical="center"/>
    </xf>
    <xf numFmtId="0" fontId="23" fillId="0" borderId="4" xfId="10" applyFont="1" applyBorder="1" applyAlignment="1">
      <alignment horizontal="center" vertical="center"/>
    </xf>
    <xf numFmtId="0" fontId="23" fillId="4" borderId="15" xfId="68" applyFont="1" applyFill="1" applyBorder="1" applyAlignment="1">
      <alignment horizontal="center" vertical="center"/>
    </xf>
    <xf numFmtId="0" fontId="23" fillId="4" borderId="16" xfId="68" applyFont="1" applyFill="1" applyBorder="1" applyAlignment="1">
      <alignment horizontal="center" vertical="center"/>
    </xf>
    <xf numFmtId="0" fontId="23" fillId="4" borderId="17" xfId="68" applyFont="1" applyFill="1" applyBorder="1" applyAlignment="1">
      <alignment horizontal="center" vertical="center"/>
    </xf>
    <xf numFmtId="0" fontId="23" fillId="4" borderId="5" xfId="68" applyFont="1" applyFill="1" applyBorder="1" applyAlignment="1">
      <alignment horizontal="center" vertical="center" wrapText="1"/>
    </xf>
    <xf numFmtId="0" fontId="23" fillId="4" borderId="12" xfId="68" applyFont="1" applyFill="1" applyBorder="1" applyAlignment="1">
      <alignment horizontal="center" vertical="center" wrapText="1"/>
    </xf>
    <xf numFmtId="0" fontId="23" fillId="4" borderId="4" xfId="68" quotePrefix="1" applyFont="1" applyFill="1" applyBorder="1" applyAlignment="1">
      <alignment horizontal="center" vertical="center" wrapText="1"/>
    </xf>
    <xf numFmtId="0" fontId="23" fillId="4" borderId="13" xfId="68" quotePrefix="1" applyFont="1" applyFill="1" applyBorder="1" applyAlignment="1">
      <alignment horizontal="center" vertical="center" wrapText="1"/>
    </xf>
    <xf numFmtId="0" fontId="23" fillId="4" borderId="4" xfId="68" applyFont="1" applyFill="1" applyBorder="1" applyAlignment="1">
      <alignment horizontal="center" vertical="center" wrapText="1"/>
    </xf>
    <xf numFmtId="0" fontId="23" fillId="4" borderId="13" xfId="68" applyFont="1" applyFill="1" applyBorder="1" applyAlignment="1">
      <alignment horizontal="center" vertical="center" wrapText="1"/>
    </xf>
    <xf numFmtId="0" fontId="23" fillId="4" borderId="11" xfId="68" applyFont="1" applyFill="1" applyBorder="1" applyAlignment="1">
      <alignment horizontal="center" vertical="center" wrapText="1"/>
    </xf>
    <xf numFmtId="2" fontId="23" fillId="6" borderId="6" xfId="10" applyNumberFormat="1" applyFont="1" applyFill="1" applyBorder="1" applyAlignment="1">
      <alignment horizontal="center" vertical="center"/>
    </xf>
    <xf numFmtId="2" fontId="23" fillId="6" borderId="3" xfId="10" applyNumberFormat="1" applyFont="1" applyFill="1" applyBorder="1" applyAlignment="1">
      <alignment horizontal="center" vertical="center"/>
    </xf>
    <xf numFmtId="2" fontId="23" fillId="6" borderId="9" xfId="10" applyNumberFormat="1" applyFont="1" applyFill="1" applyBorder="1" applyAlignment="1">
      <alignment horizontal="center" vertical="center"/>
    </xf>
    <xf numFmtId="0" fontId="23" fillId="6" borderId="6" xfId="10" applyFont="1" applyFill="1" applyBorder="1" applyAlignment="1">
      <alignment horizontal="center" vertical="center"/>
    </xf>
    <xf numFmtId="0" fontId="23" fillId="6" borderId="3" xfId="10" applyFont="1" applyFill="1" applyBorder="1" applyAlignment="1">
      <alignment horizontal="center" vertical="center"/>
    </xf>
    <xf numFmtId="0" fontId="23" fillId="6" borderId="9" xfId="10" applyFont="1" applyFill="1" applyBorder="1" applyAlignment="1">
      <alignment horizontal="center" vertical="center"/>
    </xf>
    <xf numFmtId="2" fontId="18" fillId="0" borderId="6" xfId="10" applyNumberFormat="1" applyFont="1" applyBorder="1" applyAlignment="1">
      <alignment horizontal="center" vertical="center"/>
    </xf>
    <xf numFmtId="2" fontId="18" fillId="0" borderId="3" xfId="10" applyNumberFormat="1" applyFont="1" applyBorder="1" applyAlignment="1">
      <alignment horizontal="center" vertical="center"/>
    </xf>
    <xf numFmtId="2" fontId="18" fillId="0" borderId="9" xfId="10" applyNumberFormat="1" applyFont="1" applyBorder="1" applyAlignment="1">
      <alignment horizontal="center" vertical="center"/>
    </xf>
    <xf numFmtId="0" fontId="18" fillId="0" borderId="6" xfId="10" applyFont="1" applyBorder="1" applyAlignment="1">
      <alignment horizontal="center" vertical="center"/>
    </xf>
    <xf numFmtId="0" fontId="18" fillId="0" borderId="3" xfId="10" applyFont="1" applyBorder="1" applyAlignment="1">
      <alignment horizontal="center" vertical="center"/>
    </xf>
    <xf numFmtId="0" fontId="18" fillId="0" borderId="9" xfId="10" applyFont="1" applyBorder="1" applyAlignment="1">
      <alignment horizontal="center" vertical="center"/>
    </xf>
    <xf numFmtId="0" fontId="18" fillId="0" borderId="0" xfId="10" applyFont="1" applyAlignment="1">
      <alignment horizontal="left" vertical="center" wrapText="1"/>
    </xf>
    <xf numFmtId="0" fontId="11" fillId="0" borderId="4" xfId="10" applyBorder="1" applyAlignment="1">
      <alignment horizontal="center" vertical="center" wrapText="1"/>
    </xf>
    <xf numFmtId="0" fontId="11" fillId="0" borderId="4" xfId="10" applyBorder="1" applyAlignment="1">
      <alignment horizontal="center" vertical="center"/>
    </xf>
    <xf numFmtId="0" fontId="23" fillId="0" borderId="4" xfId="14" quotePrefix="1" applyFont="1" applyBorder="1" applyAlignment="1">
      <alignment horizontal="center" vertical="center" wrapText="1"/>
    </xf>
    <xf numFmtId="0" fontId="23" fillId="0" borderId="4" xfId="0" applyFont="1" applyBorder="1" applyAlignment="1">
      <alignment horizontal="center" vertical="center"/>
    </xf>
    <xf numFmtId="0" fontId="34" fillId="0" borderId="0" xfId="14" applyFont="1" applyAlignment="1">
      <alignment horizontal="center" vertical="center"/>
    </xf>
    <xf numFmtId="0" fontId="34" fillId="0" borderId="0" xfId="10" applyFont="1" applyAlignment="1">
      <alignment horizontal="center" vertical="center"/>
    </xf>
    <xf numFmtId="1" fontId="11" fillId="0" borderId="6" xfId="0" applyNumberFormat="1" applyFont="1" applyBorder="1" applyAlignment="1">
      <alignment horizontal="left" vertical="center"/>
    </xf>
    <xf numFmtId="1" fontId="11" fillId="0" borderId="3" xfId="0" applyNumberFormat="1" applyFont="1" applyBorder="1" applyAlignment="1">
      <alignment horizontal="left" vertical="center"/>
    </xf>
    <xf numFmtId="1" fontId="11" fillId="0" borderId="9" xfId="0" applyNumberFormat="1" applyFont="1" applyBorder="1" applyAlignment="1">
      <alignment horizontal="left" vertical="center"/>
    </xf>
  </cellXfs>
  <cellStyles count="1320">
    <cellStyle name="20% - Accent1" xfId="476" builtinId="30" customBuiltin="1"/>
    <cellStyle name="20% - Accent1 2" xfId="1052"/>
    <cellStyle name="20% - Accent2" xfId="479" builtinId="34" customBuiltin="1"/>
    <cellStyle name="20% - Accent2 2" xfId="1054"/>
    <cellStyle name="20% - Accent3" xfId="482" builtinId="38" customBuiltin="1"/>
    <cellStyle name="20% - Accent3 2" xfId="1056"/>
    <cellStyle name="20% - Accent4" xfId="485" builtinId="42" customBuiltin="1"/>
    <cellStyle name="20% - Accent4 2" xfId="1058"/>
    <cellStyle name="20% - Accent5" xfId="488" builtinId="46" customBuiltin="1"/>
    <cellStyle name="20% - Accent5 2" xfId="1060"/>
    <cellStyle name="20% - Accent6" xfId="491" builtinId="50" customBuiltin="1"/>
    <cellStyle name="20% - Accent6 2" xfId="1062"/>
    <cellStyle name="40% - Accent1" xfId="477" builtinId="31" customBuiltin="1"/>
    <cellStyle name="40% - Accent1 2" xfId="1053"/>
    <cellStyle name="40% - Accent2" xfId="480" builtinId="35" customBuiltin="1"/>
    <cellStyle name="40% - Accent2 2" xfId="1055"/>
    <cellStyle name="40% - Accent3" xfId="483" builtinId="39" customBuiltin="1"/>
    <cellStyle name="40% - Accent3 2" xfId="1057"/>
    <cellStyle name="40% - Accent4" xfId="486" builtinId="43" customBuiltin="1"/>
    <cellStyle name="40% - Accent4 2" xfId="1059"/>
    <cellStyle name="40% - Accent5" xfId="489" builtinId="47" customBuiltin="1"/>
    <cellStyle name="40% - Accent5 2" xfId="1061"/>
    <cellStyle name="40% - Accent6" xfId="492" builtinId="51" customBuiltin="1"/>
    <cellStyle name="40% - Accent6 2" xfId="1063"/>
    <cellStyle name="60% - Accent1 2" xfId="498"/>
    <cellStyle name="60% - Accent2 2" xfId="499"/>
    <cellStyle name="60% - Accent3 2" xfId="500"/>
    <cellStyle name="60% - Accent4 2" xfId="501"/>
    <cellStyle name="60% - Accent5 2" xfId="502"/>
    <cellStyle name="60% - Accent6 2" xfId="503"/>
    <cellStyle name="Accent1" xfId="475" builtinId="29" customBuiltin="1"/>
    <cellStyle name="Accent2" xfId="478" builtinId="33" customBuiltin="1"/>
    <cellStyle name="Accent3" xfId="481" builtinId="37" customBuiltin="1"/>
    <cellStyle name="Accent4" xfId="484" builtinId="41" customBuiltin="1"/>
    <cellStyle name="Accent5" xfId="487" builtinId="45" customBuiltin="1"/>
    <cellStyle name="Accent6" xfId="490" builtinId="49" customBuiltin="1"/>
    <cellStyle name="Bad" xfId="466" builtinId="27" customBuiltin="1"/>
    <cellStyle name="Body" xfId="1"/>
    <cellStyle name="Calculation" xfId="469" builtinId="22" customBuiltin="1"/>
    <cellStyle name="Check Cell" xfId="471" builtinId="23" customBuiltin="1"/>
    <cellStyle name="Comma" xfId="71" builtinId="3"/>
    <cellStyle name="Comma  - Style1" xfId="2"/>
    <cellStyle name="Comma 10" xfId="95"/>
    <cellStyle name="Comma 10 2" xfId="96"/>
    <cellStyle name="Comma 10 3" xfId="252"/>
    <cellStyle name="Comma 10 4" xfId="265"/>
    <cellStyle name="Comma 10 5" xfId="534"/>
    <cellStyle name="Comma 10 5 2" xfId="1085"/>
    <cellStyle name="Comma 11" xfId="97"/>
    <cellStyle name="Comma 11 2" xfId="19"/>
    <cellStyle name="Comma 11 2 10" xfId="436"/>
    <cellStyle name="Comma 11 2 10 2" xfId="1029"/>
    <cellStyle name="Comma 11 2 11" xfId="507"/>
    <cellStyle name="Comma 11 2 11 2" xfId="1069"/>
    <cellStyle name="Comma 11 2 12" xfId="574"/>
    <cellStyle name="Comma 11 2 12 2" xfId="1111"/>
    <cellStyle name="Comma 11 2 13" xfId="786"/>
    <cellStyle name="Comma 11 2 2" xfId="98"/>
    <cellStyle name="Comma 11 2 2 2" xfId="99"/>
    <cellStyle name="Comma 11 2 2 3" xfId="93"/>
    <cellStyle name="Comma 11 2 2 4" xfId="348"/>
    <cellStyle name="Comma 11 2 2 5" xfId="367"/>
    <cellStyle name="Comma 11 2 2 6" xfId="385"/>
    <cellStyle name="Comma 11 2 2 7" xfId="401"/>
    <cellStyle name="Comma 11 2 2 8" xfId="417"/>
    <cellStyle name="Comma 11 2 2 9" xfId="538"/>
    <cellStyle name="Comma 11 2 2 9 2" xfId="1088"/>
    <cellStyle name="Comma 11 2 3" xfId="209"/>
    <cellStyle name="Comma 11 2 4" xfId="349"/>
    <cellStyle name="Comma 11 2 5" xfId="358"/>
    <cellStyle name="Comma 11 2 6" xfId="376"/>
    <cellStyle name="Comma 11 2 7" xfId="394"/>
    <cellStyle name="Comma 11 2 8" xfId="410"/>
    <cellStyle name="Comma 11 2 9" xfId="72"/>
    <cellStyle name="Comma 11 2 9 2" xfId="801"/>
    <cellStyle name="Comma 11 3" xfId="569"/>
    <cellStyle name="Comma 11 3 2" xfId="1109"/>
    <cellStyle name="Comma 12" xfId="100"/>
    <cellStyle name="Comma 12 2" xfId="530"/>
    <cellStyle name="Comma 13" xfId="101"/>
    <cellStyle name="Comma 13 2" xfId="570"/>
    <cellStyle name="Comma 14" xfId="102"/>
    <cellStyle name="Comma 14 2" xfId="531"/>
    <cellStyle name="Comma 15" xfId="103"/>
    <cellStyle name="Comma 15 2" xfId="104"/>
    <cellStyle name="Comma 15 2 10" xfId="815"/>
    <cellStyle name="Comma 15 2 2" xfId="105"/>
    <cellStyle name="Comma 15 2 2 2" xfId="106"/>
    <cellStyle name="Comma 15 2 2 2 2" xfId="580"/>
    <cellStyle name="Comma 15 2 2 2 2 2" xfId="1117"/>
    <cellStyle name="Comma 15 2 2 2 3" xfId="817"/>
    <cellStyle name="Comma 15 2 2 3" xfId="249"/>
    <cellStyle name="Comma 15 2 2 3 2" xfId="664"/>
    <cellStyle name="Comma 15 2 2 3 2 2" xfId="1201"/>
    <cellStyle name="Comma 15 2 2 3 3" xfId="914"/>
    <cellStyle name="Comma 15 2 2 4" xfId="262"/>
    <cellStyle name="Comma 15 2 2 4 2" xfId="676"/>
    <cellStyle name="Comma 15 2 2 4 2 2" xfId="1213"/>
    <cellStyle name="Comma 15 2 2 4 3" xfId="926"/>
    <cellStyle name="Comma 15 2 2 5" xfId="579"/>
    <cellStyle name="Comma 15 2 2 5 2" xfId="1116"/>
    <cellStyle name="Comma 15 2 2 6" xfId="816"/>
    <cellStyle name="Comma 15 2 3" xfId="107"/>
    <cellStyle name="Comma 15 2 3 2" xfId="581"/>
    <cellStyle name="Comma 15 2 3 2 2" xfId="1118"/>
    <cellStyle name="Comma 15 2 3 3" xfId="818"/>
    <cellStyle name="Comma 15 2 4" xfId="108"/>
    <cellStyle name="Comma 15 2 4 2" xfId="582"/>
    <cellStyle name="Comma 15 2 4 2 2" xfId="1119"/>
    <cellStyle name="Comma 15 2 4 3" xfId="819"/>
    <cellStyle name="Comma 15 2 5" xfId="109"/>
    <cellStyle name="Comma 15 2 5 2" xfId="583"/>
    <cellStyle name="Comma 15 2 5 2 2" xfId="1120"/>
    <cellStyle name="Comma 15 2 5 3" xfId="820"/>
    <cellStyle name="Comma 15 2 6" xfId="110"/>
    <cellStyle name="Comma 15 2 6 2" xfId="584"/>
    <cellStyle name="Comma 15 2 6 2 2" xfId="1121"/>
    <cellStyle name="Comma 15 2 6 3" xfId="821"/>
    <cellStyle name="Comma 15 2 7" xfId="111"/>
    <cellStyle name="Comma 15 2 7 2" xfId="585"/>
    <cellStyle name="Comma 15 2 7 2 2" xfId="1122"/>
    <cellStyle name="Comma 15 2 7 3" xfId="822"/>
    <cellStyle name="Comma 15 2 8" xfId="112"/>
    <cellStyle name="Comma 15 2 8 2" xfId="586"/>
    <cellStyle name="Comma 15 2 8 2 2" xfId="1123"/>
    <cellStyle name="Comma 15 2 8 3" xfId="823"/>
    <cellStyle name="Comma 15 2 9" xfId="578"/>
    <cellStyle name="Comma 15 2 9 2" xfId="1115"/>
    <cellStyle name="Comma 15 3" xfId="113"/>
    <cellStyle name="Comma 15 4" xfId="114"/>
    <cellStyle name="Comma 15 5" xfId="115"/>
    <cellStyle name="Comma 15 6" xfId="116"/>
    <cellStyle name="Comma 15 7" xfId="117"/>
    <cellStyle name="Comma 15 8" xfId="118"/>
    <cellStyle name="Comma 16" xfId="119"/>
    <cellStyle name="Comma 16 2" xfId="120"/>
    <cellStyle name="Comma 16 3" xfId="121"/>
    <cellStyle name="Comma 16 4" xfId="122"/>
    <cellStyle name="Comma 16 5" xfId="123"/>
    <cellStyle name="Comma 16 6" xfId="124"/>
    <cellStyle name="Comma 16 7" xfId="125"/>
    <cellStyle name="Comma 16 8" xfId="126"/>
    <cellStyle name="Comma 17" xfId="127"/>
    <cellStyle name="Comma 17 2" xfId="587"/>
    <cellStyle name="Comma 17 2 2" xfId="1124"/>
    <cellStyle name="Comma 17 3" xfId="824"/>
    <cellStyle name="Comma 18" xfId="128"/>
    <cellStyle name="Comma 18 2" xfId="129"/>
    <cellStyle name="Comma 18 2 2" xfId="130"/>
    <cellStyle name="Comma 18 2 2 2" xfId="590"/>
    <cellStyle name="Comma 18 2 2 2 2" xfId="1127"/>
    <cellStyle name="Comma 18 2 2 3" xfId="827"/>
    <cellStyle name="Comma 18 2 3" xfId="589"/>
    <cellStyle name="Comma 18 2 3 2" xfId="1126"/>
    <cellStyle name="Comma 18 2 4" xfId="826"/>
    <cellStyle name="Comma 18 3" xfId="588"/>
    <cellStyle name="Comma 18 3 2" xfId="1125"/>
    <cellStyle name="Comma 18 4" xfId="825"/>
    <cellStyle name="Comma 19" xfId="131"/>
    <cellStyle name="Comma 19 2" xfId="591"/>
    <cellStyle name="Comma 19 2 2" xfId="1128"/>
    <cellStyle name="Comma 19 3" xfId="828"/>
    <cellStyle name="Comma 2" xfId="24"/>
    <cellStyle name="Comma 2 10" xfId="248"/>
    <cellStyle name="Comma 2 10 2" xfId="663"/>
    <cellStyle name="Comma 2 10 2 2" xfId="1200"/>
    <cellStyle name="Comma 2 10 3" xfId="913"/>
    <cellStyle name="Comma 2 11" xfId="261"/>
    <cellStyle name="Comma 2 11 2" xfId="675"/>
    <cellStyle name="Comma 2 11 2 2" xfId="1212"/>
    <cellStyle name="Comma 2 11 3" xfId="925"/>
    <cellStyle name="Comma 2 12" xfId="286"/>
    <cellStyle name="Comma 2 13" xfId="328"/>
    <cellStyle name="Comma 2 14" xfId="281"/>
    <cellStyle name="Comma 2 15" xfId="368"/>
    <cellStyle name="Comma 2 16" xfId="386"/>
    <cellStyle name="Comma 2 17" xfId="402"/>
    <cellStyle name="Comma 2 18" xfId="73"/>
    <cellStyle name="Comma 2 19" xfId="496"/>
    <cellStyle name="Comma 2 2" xfId="25"/>
    <cellStyle name="Comma 2 2 10" xfId="326"/>
    <cellStyle name="Comma 2 2 10 2" xfId="713"/>
    <cellStyle name="Comma 2 2 10 2 2" xfId="1250"/>
    <cellStyle name="Comma 2 2 10 3" xfId="963"/>
    <cellStyle name="Comma 2 2 11" xfId="283"/>
    <cellStyle name="Comma 2 2 11 2" xfId="692"/>
    <cellStyle name="Comma 2 2 11 2 2" xfId="1229"/>
    <cellStyle name="Comma 2 2 11 3" xfId="942"/>
    <cellStyle name="Comma 2 2 12" xfId="332"/>
    <cellStyle name="Comma 2 2 12 2" xfId="718"/>
    <cellStyle name="Comma 2 2 12 2 2" xfId="1255"/>
    <cellStyle name="Comma 2 2 12 3" xfId="968"/>
    <cellStyle name="Comma 2 2 13" xfId="277"/>
    <cellStyle name="Comma 2 2 13 2" xfId="687"/>
    <cellStyle name="Comma 2 2 13 2 2" xfId="1224"/>
    <cellStyle name="Comma 2 2 13 3" xfId="937"/>
    <cellStyle name="Comma 2 2 14" xfId="337"/>
    <cellStyle name="Comma 2 2 14 2" xfId="722"/>
    <cellStyle name="Comma 2 2 14 2 2" xfId="1259"/>
    <cellStyle name="Comma 2 2 14 3" xfId="972"/>
    <cellStyle name="Comma 2 2 15" xfId="74"/>
    <cellStyle name="Comma 2 2 16" xfId="512"/>
    <cellStyle name="Comma 2 2 2" xfId="63"/>
    <cellStyle name="Comma 2 2 2 2" xfId="134"/>
    <cellStyle name="Comma 2 2 2 2 2" xfId="593"/>
    <cellStyle name="Comma 2 2 2 2 2 2" xfId="1130"/>
    <cellStyle name="Comma 2 2 2 2 3" xfId="830"/>
    <cellStyle name="Comma 2 2 2 3" xfId="288"/>
    <cellStyle name="Comma 2 2 2 3 2" xfId="696"/>
    <cellStyle name="Comma 2 2 2 3 2 2" xfId="1233"/>
    <cellStyle name="Comma 2 2 2 3 3" xfId="946"/>
    <cellStyle name="Comma 2 2 2 4" xfId="325"/>
    <cellStyle name="Comma 2 2 2 4 2" xfId="712"/>
    <cellStyle name="Comma 2 2 2 4 2 2" xfId="1249"/>
    <cellStyle name="Comma 2 2 2 4 3" xfId="962"/>
    <cellStyle name="Comma 2 2 2 5" xfId="284"/>
    <cellStyle name="Comma 2 2 2 5 2" xfId="693"/>
    <cellStyle name="Comma 2 2 2 5 2 2" xfId="1230"/>
    <cellStyle name="Comma 2 2 2 5 3" xfId="943"/>
    <cellStyle name="Comma 2 2 2 6" xfId="331"/>
    <cellStyle name="Comma 2 2 2 6 2" xfId="717"/>
    <cellStyle name="Comma 2 2 2 6 2 2" xfId="1254"/>
    <cellStyle name="Comma 2 2 2 6 3" xfId="967"/>
    <cellStyle name="Comma 2 2 2 7" xfId="278"/>
    <cellStyle name="Comma 2 2 2 7 2" xfId="688"/>
    <cellStyle name="Comma 2 2 2 7 2 2" xfId="1225"/>
    <cellStyle name="Comma 2 2 2 7 3" xfId="938"/>
    <cellStyle name="Comma 2 2 2 8" xfId="335"/>
    <cellStyle name="Comma 2 2 2 8 2" xfId="721"/>
    <cellStyle name="Comma 2 2 2 8 2 2" xfId="1258"/>
    <cellStyle name="Comma 2 2 2 8 3" xfId="971"/>
    <cellStyle name="Comma 2 2 3" xfId="133"/>
    <cellStyle name="Comma 2 2 3 2" xfId="542"/>
    <cellStyle name="Comma 2 2 3 3" xfId="592"/>
    <cellStyle name="Comma 2 2 3 3 2" xfId="1129"/>
    <cellStyle name="Comma 2 2 3 4" xfId="829"/>
    <cellStyle name="Comma 2 2 4" xfId="136"/>
    <cellStyle name="Comma 2 2 4 2" xfId="595"/>
    <cellStyle name="Comma 2 2 4 2 2" xfId="1132"/>
    <cellStyle name="Comma 2 2 4 3" xfId="832"/>
    <cellStyle name="Comma 2 2 5" xfId="137"/>
    <cellStyle name="Comma 2 2 5 2" xfId="596"/>
    <cellStyle name="Comma 2 2 5 2 2" xfId="1133"/>
    <cellStyle name="Comma 2 2 5 3" xfId="833"/>
    <cellStyle name="Comma 2 2 6" xfId="138"/>
    <cellStyle name="Comma 2 2 6 2" xfId="597"/>
    <cellStyle name="Comma 2 2 6 2 2" xfId="1134"/>
    <cellStyle name="Comma 2 2 6 3" xfId="834"/>
    <cellStyle name="Comma 2 2 7" xfId="139"/>
    <cellStyle name="Comma 2 2 7 2" xfId="598"/>
    <cellStyle name="Comma 2 2 7 2 2" xfId="1135"/>
    <cellStyle name="Comma 2 2 7 3" xfId="835"/>
    <cellStyle name="Comma 2 2 8" xfId="140"/>
    <cellStyle name="Comma 2 2 8 2" xfId="599"/>
    <cellStyle name="Comma 2 2 8 2 2" xfId="1136"/>
    <cellStyle name="Comma 2 2 8 3" xfId="836"/>
    <cellStyle name="Comma 2 2 9" xfId="287"/>
    <cellStyle name="Comma 2 2 9 2" xfId="695"/>
    <cellStyle name="Comma 2 2 9 2 2" xfId="1232"/>
    <cellStyle name="Comma 2 2 9 3" xfId="945"/>
    <cellStyle name="Comma 2 3" xfId="26"/>
    <cellStyle name="Comma 2 3 10" xfId="513"/>
    <cellStyle name="Comma 2 3 2" xfId="141"/>
    <cellStyle name="Comma 2 3 2 2" xfId="543"/>
    <cellStyle name="Comma 2 3 2 3" xfId="600"/>
    <cellStyle name="Comma 2 3 2 3 2" xfId="1137"/>
    <cellStyle name="Comma 2 3 2 4" xfId="837"/>
    <cellStyle name="Comma 2 3 3" xfId="296"/>
    <cellStyle name="Comma 2 3 3 2" xfId="697"/>
    <cellStyle name="Comma 2 3 3 2 2" xfId="1234"/>
    <cellStyle name="Comma 2 3 3 3" xfId="947"/>
    <cellStyle name="Comma 2 3 4" xfId="313"/>
    <cellStyle name="Comma 2 3 4 2" xfId="708"/>
    <cellStyle name="Comma 2 3 4 2 2" xfId="1245"/>
    <cellStyle name="Comma 2 3 4 3" xfId="958"/>
    <cellStyle name="Comma 2 3 5" xfId="299"/>
    <cellStyle name="Comma 2 3 5 2" xfId="698"/>
    <cellStyle name="Comma 2 3 5 2 2" xfId="1235"/>
    <cellStyle name="Comma 2 3 5 3" xfId="948"/>
    <cellStyle name="Comma 2 3 6" xfId="312"/>
    <cellStyle name="Comma 2 3 6 2" xfId="707"/>
    <cellStyle name="Comma 2 3 6 2 2" xfId="1244"/>
    <cellStyle name="Comma 2 3 6 3" xfId="957"/>
    <cellStyle name="Comma 2 3 7" xfId="300"/>
    <cellStyle name="Comma 2 3 7 2" xfId="699"/>
    <cellStyle name="Comma 2 3 7 2 2" xfId="1236"/>
    <cellStyle name="Comma 2 3 7 3" xfId="949"/>
    <cellStyle name="Comma 2 3 8" xfId="311"/>
    <cellStyle name="Comma 2 3 8 2" xfId="706"/>
    <cellStyle name="Comma 2 3 8 2 2" xfId="1243"/>
    <cellStyle name="Comma 2 3 8 3" xfId="956"/>
    <cellStyle name="Comma 2 3 9" xfId="75"/>
    <cellStyle name="Comma 2 4" xfId="56"/>
    <cellStyle name="Comma 2 4 2" xfId="142"/>
    <cellStyle name="Comma 2 4 3" xfId="297"/>
    <cellStyle name="Comma 2 4 4" xfId="366"/>
    <cellStyle name="Comma 2 4 5" xfId="384"/>
    <cellStyle name="Comma 2 4 6" xfId="400"/>
    <cellStyle name="Comma 2 4 7" xfId="416"/>
    <cellStyle name="Comma 2 4 8" xfId="429"/>
    <cellStyle name="Comma 2 5" xfId="132"/>
    <cellStyle name="Comma 2 5 2" xfId="541"/>
    <cellStyle name="Comma 2 6" xfId="144"/>
    <cellStyle name="Comma 2 6 2" xfId="511"/>
    <cellStyle name="Comma 2 7" xfId="145"/>
    <cellStyle name="Comma 2 8" xfId="146"/>
    <cellStyle name="Comma 2 9" xfId="147"/>
    <cellStyle name="Comma 20" xfId="148"/>
    <cellStyle name="Comma 20 2" xfId="602"/>
    <cellStyle name="Comma 20 2 2" xfId="1139"/>
    <cellStyle name="Comma 20 3" xfId="839"/>
    <cellStyle name="Comma 21" xfId="149"/>
    <cellStyle name="Comma 21 2" xfId="603"/>
    <cellStyle name="Comma 21 2 2" xfId="1140"/>
    <cellStyle name="Comma 21 3" xfId="840"/>
    <cellStyle name="Comma 22" xfId="150"/>
    <cellStyle name="Comma 22 2" xfId="604"/>
    <cellStyle name="Comma 22 2 2" xfId="1141"/>
    <cellStyle name="Comma 22 3" xfId="841"/>
    <cellStyle name="Comma 23" xfId="151"/>
    <cellStyle name="Comma 23 2" xfId="605"/>
    <cellStyle name="Comma 23 2 2" xfId="1142"/>
    <cellStyle name="Comma 23 3" xfId="842"/>
    <cellStyle name="Comma 24" xfId="152"/>
    <cellStyle name="Comma 24 2" xfId="606"/>
    <cellStyle name="Comma 24 2 2" xfId="1143"/>
    <cellStyle name="Comma 24 3" xfId="843"/>
    <cellStyle name="Comma 25" xfId="153"/>
    <cellStyle name="Comma 25 2" xfId="607"/>
    <cellStyle name="Comma 25 2 2" xfId="1144"/>
    <cellStyle name="Comma 25 3" xfId="844"/>
    <cellStyle name="Comma 26" xfId="154"/>
    <cellStyle name="Comma 26 2" xfId="608"/>
    <cellStyle name="Comma 26 2 2" xfId="1145"/>
    <cellStyle name="Comma 26 3" xfId="845"/>
    <cellStyle name="Comma 27" xfId="155"/>
    <cellStyle name="Comma 27 2" xfId="609"/>
    <cellStyle name="Comma 27 2 2" xfId="1146"/>
    <cellStyle name="Comma 27 3" xfId="846"/>
    <cellStyle name="Comma 28" xfId="156"/>
    <cellStyle name="Comma 28 2" xfId="610"/>
    <cellStyle name="Comma 28 2 2" xfId="1147"/>
    <cellStyle name="Comma 28 3" xfId="847"/>
    <cellStyle name="Comma 29" xfId="157"/>
    <cellStyle name="Comma 29 2" xfId="611"/>
    <cellStyle name="Comma 29 2 2" xfId="1148"/>
    <cellStyle name="Comma 29 3" xfId="848"/>
    <cellStyle name="Comma 3" xfId="27"/>
    <cellStyle name="Comma 3 10" xfId="76"/>
    <cellStyle name="Comma 3 11" xfId="514"/>
    <cellStyle name="Comma 3 2" xfId="62"/>
    <cellStyle name="Comma 3 2 2" xfId="77"/>
    <cellStyle name="Comma 3 2 2 2" xfId="551"/>
    <cellStyle name="Comma 3 2 2 2 2" xfId="1093"/>
    <cellStyle name="Comma 3 2 2 3" xfId="802"/>
    <cellStyle name="Comma 3 2 3" xfId="437"/>
    <cellStyle name="Comma 3 2 3 2" xfId="1030"/>
    <cellStyle name="Comma 3 2 4" xfId="522"/>
    <cellStyle name="Comma 3 2 4 2" xfId="1076"/>
    <cellStyle name="Comma 3 2 5" xfId="575"/>
    <cellStyle name="Comma 3 2 5 2" xfId="1112"/>
    <cellStyle name="Comma 3 2 6" xfId="792"/>
    <cellStyle name="Comma 3 3" xfId="158"/>
    <cellStyle name="Comma 3 3 2" xfId="544"/>
    <cellStyle name="Comma 3 4" xfId="302"/>
    <cellStyle name="Comma 3 5" xfId="362"/>
    <cellStyle name="Comma 3 6" xfId="380"/>
    <cellStyle name="Comma 3 7" xfId="397"/>
    <cellStyle name="Comma 3 8" xfId="413"/>
    <cellStyle name="Comma 3 9" xfId="427"/>
    <cellStyle name="Comma 30" xfId="159"/>
    <cellStyle name="Comma 30 2" xfId="612"/>
    <cellStyle name="Comma 30 2 2" xfId="1149"/>
    <cellStyle name="Comma 30 3" xfId="849"/>
    <cellStyle name="Comma 31" xfId="160"/>
    <cellStyle name="Comma 31 2" xfId="613"/>
    <cellStyle name="Comma 31 2 2" xfId="1150"/>
    <cellStyle name="Comma 31 3" xfId="850"/>
    <cellStyle name="Comma 32" xfId="161"/>
    <cellStyle name="Comma 32 2" xfId="614"/>
    <cellStyle name="Comma 32 2 2" xfId="1151"/>
    <cellStyle name="Comma 32 3" xfId="851"/>
    <cellStyle name="Comma 33" xfId="162"/>
    <cellStyle name="Comma 33 2" xfId="615"/>
    <cellStyle name="Comma 33 2 2" xfId="1152"/>
    <cellStyle name="Comma 33 3" xfId="852"/>
    <cellStyle name="Comma 34" xfId="163"/>
    <cellStyle name="Comma 34 2" xfId="616"/>
    <cellStyle name="Comma 34 2 2" xfId="1153"/>
    <cellStyle name="Comma 34 3" xfId="853"/>
    <cellStyle name="Comma 35" xfId="164"/>
    <cellStyle name="Comma 35 2" xfId="617"/>
    <cellStyle name="Comma 35 2 2" xfId="1154"/>
    <cellStyle name="Comma 35 3" xfId="854"/>
    <cellStyle name="Comma 36" xfId="165"/>
    <cellStyle name="Comma 36 2" xfId="618"/>
    <cellStyle name="Comma 36 2 2" xfId="1155"/>
    <cellStyle name="Comma 36 3" xfId="855"/>
    <cellStyle name="Comma 37" xfId="166"/>
    <cellStyle name="Comma 37 2" xfId="619"/>
    <cellStyle name="Comma 37 2 2" xfId="1156"/>
    <cellStyle name="Comma 37 3" xfId="856"/>
    <cellStyle name="Comma 38" xfId="250"/>
    <cellStyle name="Comma 38 2" xfId="665"/>
    <cellStyle name="Comma 38 2 2" xfId="1202"/>
    <cellStyle name="Comma 38 3" xfId="915"/>
    <cellStyle name="Comma 39" xfId="255"/>
    <cellStyle name="Comma 39 2" xfId="669"/>
    <cellStyle name="Comma 39 2 2" xfId="1206"/>
    <cellStyle name="Comma 39 3" xfId="919"/>
    <cellStyle name="Comma 4" xfId="28"/>
    <cellStyle name="Comma 4 10" xfId="78"/>
    <cellStyle name="Comma 4 11" xfId="515"/>
    <cellStyle name="Comma 4 2" xfId="64"/>
    <cellStyle name="Comma 4 2 10" xfId="438"/>
    <cellStyle name="Comma 4 2 10 2" xfId="1031"/>
    <cellStyle name="Comma 4 2 11" xfId="523"/>
    <cellStyle name="Comma 4 2 11 2" xfId="1077"/>
    <cellStyle name="Comma 4 2 12" xfId="576"/>
    <cellStyle name="Comma 4 2 12 2" xfId="1113"/>
    <cellStyle name="Comma 4 2 13" xfId="793"/>
    <cellStyle name="Comma 4 2 2" xfId="168"/>
    <cellStyle name="Comma 4 2 2 2" xfId="552"/>
    <cellStyle name="Comma 4 2 2 2 2" xfId="1094"/>
    <cellStyle name="Comma 4 2 3" xfId="306"/>
    <cellStyle name="Comma 4 2 4" xfId="360"/>
    <cellStyle name="Comma 4 2 5" xfId="378"/>
    <cellStyle name="Comma 4 2 6" xfId="396"/>
    <cellStyle name="Comma 4 2 7" xfId="412"/>
    <cellStyle name="Comma 4 2 8" xfId="426"/>
    <cellStyle name="Comma 4 2 9" xfId="79"/>
    <cellStyle name="Comma 4 2 9 2" xfId="803"/>
    <cellStyle name="Comma 4 3" xfId="169"/>
    <cellStyle name="Comma 4 3 2" xfId="545"/>
    <cellStyle name="Comma 4 4" xfId="170"/>
    <cellStyle name="Comma 4 5" xfId="171"/>
    <cellStyle name="Comma 4 6" xfId="172"/>
    <cellStyle name="Comma 4 7" xfId="173"/>
    <cellStyle name="Comma 4 8" xfId="174"/>
    <cellStyle name="Comma 4 9" xfId="175"/>
    <cellStyle name="Comma 40" xfId="257"/>
    <cellStyle name="Comma 40 2" xfId="671"/>
    <cellStyle name="Comma 40 2 2" xfId="1208"/>
    <cellStyle name="Comma 40 3" xfId="921"/>
    <cellStyle name="Comma 41" xfId="259"/>
    <cellStyle name="Comma 41 2" xfId="673"/>
    <cellStyle name="Comma 41 2 2" xfId="1210"/>
    <cellStyle name="Comma 41 3" xfId="923"/>
    <cellStyle name="Comma 42" xfId="263"/>
    <cellStyle name="Comma 42 2" xfId="677"/>
    <cellStyle name="Comma 42 2 2" xfId="1214"/>
    <cellStyle name="Comma 42 3" xfId="927"/>
    <cellStyle name="Comma 43" xfId="267"/>
    <cellStyle name="Comma 43 2" xfId="680"/>
    <cellStyle name="Comma 43 2 2" xfId="1217"/>
    <cellStyle name="Comma 43 3" xfId="930"/>
    <cellStyle name="Comma 44" xfId="452"/>
    <cellStyle name="Comma 44 2" xfId="1044"/>
    <cellStyle name="Comma 45" xfId="454"/>
    <cellStyle name="Comma 45 2" xfId="1046"/>
    <cellStyle name="Comma 46" xfId="456"/>
    <cellStyle name="Comma 46 2" xfId="1048"/>
    <cellStyle name="Comma 47" xfId="458"/>
    <cellStyle name="Comma 47 2" xfId="1050"/>
    <cellStyle name="Comma 48" xfId="459"/>
    <cellStyle name="Comma 48 2" xfId="1051"/>
    <cellStyle name="Comma 49" xfId="422"/>
    <cellStyle name="Comma 5" xfId="29"/>
    <cellStyle name="Comma 5 10" xfId="177"/>
    <cellStyle name="Comma 5 10 2" xfId="622"/>
    <cellStyle name="Comma 5 10 2 2" xfId="1159"/>
    <cellStyle name="Comma 5 10 3" xfId="859"/>
    <cellStyle name="Comma 5 11" xfId="309"/>
    <cellStyle name="Comma 5 11 2" xfId="705"/>
    <cellStyle name="Comma 5 11 2 2" xfId="1242"/>
    <cellStyle name="Comma 5 11 3" xfId="955"/>
    <cellStyle name="Comma 5 12" xfId="303"/>
    <cellStyle name="Comma 5 12 2" xfId="700"/>
    <cellStyle name="Comma 5 12 2 2" xfId="1237"/>
    <cellStyle name="Comma 5 12 3" xfId="950"/>
    <cellStyle name="Comma 5 13" xfId="308"/>
    <cellStyle name="Comma 5 13 2" xfId="704"/>
    <cellStyle name="Comma 5 13 2 2" xfId="1241"/>
    <cellStyle name="Comma 5 13 3" xfId="954"/>
    <cellStyle name="Comma 5 14" xfId="304"/>
    <cellStyle name="Comma 5 14 2" xfId="701"/>
    <cellStyle name="Comma 5 14 2 2" xfId="1238"/>
    <cellStyle name="Comma 5 14 3" xfId="951"/>
    <cellStyle name="Comma 5 15" xfId="307"/>
    <cellStyle name="Comma 5 15 2" xfId="703"/>
    <cellStyle name="Comma 5 15 2 2" xfId="1240"/>
    <cellStyle name="Comma 5 15 3" xfId="953"/>
    <cellStyle name="Comma 5 16" xfId="305"/>
    <cellStyle name="Comma 5 16 2" xfId="702"/>
    <cellStyle name="Comma 5 16 2 2" xfId="1239"/>
    <cellStyle name="Comma 5 16 3" xfId="952"/>
    <cellStyle name="Comma 5 17" xfId="80"/>
    <cellStyle name="Comma 5 18" xfId="439"/>
    <cellStyle name="Comma 5 19" xfId="516"/>
    <cellStyle name="Comma 5 2" xfId="176"/>
    <cellStyle name="Comma 5 2 10" xfId="621"/>
    <cellStyle name="Comma 5 2 10 2" xfId="1158"/>
    <cellStyle name="Comma 5 2 11" xfId="858"/>
    <cellStyle name="Comma 5 2 2" xfId="178"/>
    <cellStyle name="Comma 5 2 3" xfId="310"/>
    <cellStyle name="Comma 5 2 4" xfId="301"/>
    <cellStyle name="Comma 5 2 5" xfId="365"/>
    <cellStyle name="Comma 5 2 6" xfId="383"/>
    <cellStyle name="Comma 5 2 7" xfId="399"/>
    <cellStyle name="Comma 5 2 8" xfId="415"/>
    <cellStyle name="Comma 5 2 9" xfId="546"/>
    <cellStyle name="Comma 5 3" xfId="179"/>
    <cellStyle name="Comma 5 3 2" xfId="180"/>
    <cellStyle name="Comma 5 3 3" xfId="181"/>
    <cellStyle name="Comma 5 3 4" xfId="182"/>
    <cellStyle name="Comma 5 3 5" xfId="183"/>
    <cellStyle name="Comma 5 3 6" xfId="184"/>
    <cellStyle name="Comma 5 3 7" xfId="185"/>
    <cellStyle name="Comma 5 3 8" xfId="186"/>
    <cellStyle name="Comma 5 4" xfId="187"/>
    <cellStyle name="Comma 5 4 2" xfId="188"/>
    <cellStyle name="Comma 5 4 2 2" xfId="189"/>
    <cellStyle name="Comma 5 4 2 2 2" xfId="626"/>
    <cellStyle name="Comma 5 4 2 2 2 2" xfId="1163"/>
    <cellStyle name="Comma 5 4 2 2 3" xfId="862"/>
    <cellStyle name="Comma 5 4 2 3" xfId="251"/>
    <cellStyle name="Comma 5 4 2 3 2" xfId="666"/>
    <cellStyle name="Comma 5 4 2 3 2 2" xfId="1203"/>
    <cellStyle name="Comma 5 4 2 3 3" xfId="916"/>
    <cellStyle name="Comma 5 4 2 4" xfId="264"/>
    <cellStyle name="Comma 5 4 2 4 2" xfId="678"/>
    <cellStyle name="Comma 5 4 2 4 2 2" xfId="1215"/>
    <cellStyle name="Comma 5 4 2 4 3" xfId="928"/>
    <cellStyle name="Comma 5 4 2 5" xfId="625"/>
    <cellStyle name="Comma 5 4 2 5 2" xfId="1162"/>
    <cellStyle name="Comma 5 4 2 6" xfId="861"/>
    <cellStyle name="Comma 5 4 3" xfId="624"/>
    <cellStyle name="Comma 5 4 3 2" xfId="1161"/>
    <cellStyle name="Comma 5 4 4" xfId="860"/>
    <cellStyle name="Comma 5 5" xfId="190"/>
    <cellStyle name="Comma 5 5 2" xfId="627"/>
    <cellStyle name="Comma 5 5 2 2" xfId="1164"/>
    <cellStyle name="Comma 5 5 3" xfId="863"/>
    <cellStyle name="Comma 5 6" xfId="191"/>
    <cellStyle name="Comma 5 6 2" xfId="628"/>
    <cellStyle name="Comma 5 6 2 2" xfId="1165"/>
    <cellStyle name="Comma 5 6 3" xfId="864"/>
    <cellStyle name="Comma 5 7" xfId="192"/>
    <cellStyle name="Comma 5 7 2" xfId="629"/>
    <cellStyle name="Comma 5 7 2 2" xfId="1166"/>
    <cellStyle name="Comma 5 7 3" xfId="865"/>
    <cellStyle name="Comma 5 8" xfId="193"/>
    <cellStyle name="Comma 5 8 2" xfId="630"/>
    <cellStyle name="Comma 5 8 2 2" xfId="1167"/>
    <cellStyle name="Comma 5 8 3" xfId="866"/>
    <cellStyle name="Comma 5 9" xfId="194"/>
    <cellStyle name="Comma 5 9 2" xfId="631"/>
    <cellStyle name="Comma 5 9 2 2" xfId="1168"/>
    <cellStyle name="Comma 5 9 3" xfId="867"/>
    <cellStyle name="Comma 50" xfId="573"/>
    <cellStyle name="Comma 50 2" xfId="1110"/>
    <cellStyle name="Comma 51" xfId="520"/>
    <cellStyle name="Comma 51 2" xfId="1074"/>
    <cellStyle name="Comma 52" xfId="781"/>
    <cellStyle name="Comma 52 2" xfId="1318"/>
    <cellStyle name="Comma 53" xfId="778"/>
    <cellStyle name="Comma 53 2" xfId="1315"/>
    <cellStyle name="Comma 54" xfId="577"/>
    <cellStyle name="Comma 54 2" xfId="1114"/>
    <cellStyle name="Comma 55" xfId="633"/>
    <cellStyle name="Comma 55 2" xfId="1170"/>
    <cellStyle name="Comma 56" xfId="800"/>
    <cellStyle name="Comma 57" xfId="783"/>
    <cellStyle name="Comma 6" xfId="48"/>
    <cellStyle name="Comma 6 2" xfId="49"/>
    <cellStyle name="Comma 6 3" xfId="50"/>
    <cellStyle name="Comma 6 4" xfId="51"/>
    <cellStyle name="Comma 6 5" xfId="81"/>
    <cellStyle name="Comma 6 5 2" xfId="549"/>
    <cellStyle name="Comma 6 6" xfId="519"/>
    <cellStyle name="Comma 6 7" xfId="790"/>
    <cellStyle name="Comma 7" xfId="21"/>
    <cellStyle name="Comma 7 2" xfId="196"/>
    <cellStyle name="Comma 7 3" xfId="318"/>
    <cellStyle name="Comma 7 4" xfId="292"/>
    <cellStyle name="Comma 7 5" xfId="316"/>
    <cellStyle name="Comma 7 6" xfId="294"/>
    <cellStyle name="Comma 7 7" xfId="314"/>
    <cellStyle name="Comma 7 8" xfId="298"/>
    <cellStyle name="Comma 8" xfId="65"/>
    <cellStyle name="Comma 8 10" xfId="440"/>
    <cellStyle name="Comma 8 10 2" xfId="1032"/>
    <cellStyle name="Comma 8 11" xfId="524"/>
    <cellStyle name="Comma 8 11 2" xfId="1078"/>
    <cellStyle name="Comma 8 12" xfId="794"/>
    <cellStyle name="Comma 8 2" xfId="197"/>
    <cellStyle name="Comma 8 2 2" xfId="553"/>
    <cellStyle name="Comma 8 2 2 2" xfId="1095"/>
    <cellStyle name="Comma 8 3" xfId="319"/>
    <cellStyle name="Comma 8 4" xfId="291"/>
    <cellStyle name="Comma 8 5" xfId="317"/>
    <cellStyle name="Comma 8 6" xfId="293"/>
    <cellStyle name="Comma 8 7" xfId="315"/>
    <cellStyle name="Comma 8 8" xfId="295"/>
    <cellStyle name="Comma 8 9" xfId="82"/>
    <cellStyle name="Comma 8 9 2" xfId="804"/>
    <cellStyle name="Comma 9" xfId="94"/>
    <cellStyle name="Comma 9 2" xfId="198"/>
    <cellStyle name="Comma 9 3" xfId="320"/>
    <cellStyle name="Comma 9 4" xfId="290"/>
    <cellStyle name="Comma 9 5" xfId="321"/>
    <cellStyle name="Comma 9 6" xfId="289"/>
    <cellStyle name="Comma 9 7" xfId="243"/>
    <cellStyle name="Comma 9 8" xfId="354"/>
    <cellStyle name="Comma 9 9" xfId="561"/>
    <cellStyle name="Curren - Style2" xfId="3"/>
    <cellStyle name="Explanatory Text" xfId="473" builtinId="53" customBuiltin="1"/>
    <cellStyle name="Good" xfId="465" builtinId="26" customBuiltin="1"/>
    <cellStyle name="Grey" xfId="4"/>
    <cellStyle name="Header1" xfId="5"/>
    <cellStyle name="Header2" xfId="6"/>
    <cellStyle name="Heading 1" xfId="461" builtinId="16" customBuiltin="1"/>
    <cellStyle name="Heading 2" xfId="462" builtinId="17" customBuiltin="1"/>
    <cellStyle name="Heading 3" xfId="463" builtinId="18" customBuiltin="1"/>
    <cellStyle name="Heading 4" xfId="464" builtinId="19" customBuiltin="1"/>
    <cellStyle name="Hyperlink 2" xfId="199"/>
    <cellStyle name="Input" xfId="467" builtinId="20" customBuiltin="1"/>
    <cellStyle name="Input [yellow]" xfId="7"/>
    <cellStyle name="Input [yellow] 2" xfId="505"/>
    <cellStyle name="Input [yellow] 2 2" xfId="1067"/>
    <cellStyle name="Input [yellow] 3" xfId="784"/>
    <cellStyle name="Linked Cell" xfId="470" builtinId="24" customBuiltin="1"/>
    <cellStyle name="Neutral 2" xfId="497"/>
    <cellStyle name="no dec" xfId="8"/>
    <cellStyle name="Normal" xfId="0" builtinId="0"/>
    <cellStyle name="Normal - Style1" xfId="9"/>
    <cellStyle name="Normal 10" xfId="67"/>
    <cellStyle name="Normal 10 10" xfId="441"/>
    <cellStyle name="Normal 10 10 2" xfId="1033"/>
    <cellStyle name="Normal 10 11" xfId="526"/>
    <cellStyle name="Normal 10 11 2" xfId="1080"/>
    <cellStyle name="Normal 10 12" xfId="796"/>
    <cellStyle name="Normal 10 2" xfId="200"/>
    <cellStyle name="Normal 10 2 2" xfId="555"/>
    <cellStyle name="Normal 10 2 2 2" xfId="1097"/>
    <cellStyle name="Normal 10 2 3" xfId="869"/>
    <cellStyle name="Normal 10 3" xfId="322"/>
    <cellStyle name="Normal 10 3 2" xfId="709"/>
    <cellStyle name="Normal 10 3 2 2" xfId="1246"/>
    <cellStyle name="Normal 10 3 3" xfId="959"/>
    <cellStyle name="Normal 10 4" xfId="364"/>
    <cellStyle name="Normal 10 4 2" xfId="740"/>
    <cellStyle name="Normal 10 4 2 2" xfId="1277"/>
    <cellStyle name="Normal 10 4 3" xfId="990"/>
    <cellStyle name="Normal 10 5" xfId="382"/>
    <cellStyle name="Normal 10 5 2" xfId="750"/>
    <cellStyle name="Normal 10 5 2 2" xfId="1287"/>
    <cellStyle name="Normal 10 5 3" xfId="1000"/>
    <cellStyle name="Normal 10 6" xfId="398"/>
    <cellStyle name="Normal 10 6 2" xfId="758"/>
    <cellStyle name="Normal 10 6 2 2" xfId="1295"/>
    <cellStyle name="Normal 10 6 3" xfId="1008"/>
    <cellStyle name="Normal 10 7" xfId="414"/>
    <cellStyle name="Normal 10 7 2" xfId="766"/>
    <cellStyle name="Normal 10 7 2 2" xfId="1303"/>
    <cellStyle name="Normal 10 7 3" xfId="1016"/>
    <cellStyle name="Normal 10 8" xfId="428"/>
    <cellStyle name="Normal 10 8 2" xfId="773"/>
    <cellStyle name="Normal 10 8 2 2" xfId="1310"/>
    <cellStyle name="Normal 10 8 3" xfId="1023"/>
    <cellStyle name="Normal 10 9" xfId="83"/>
    <cellStyle name="Normal 10 9 2" xfId="805"/>
    <cellStyle name="Normal 11" xfId="69"/>
    <cellStyle name="Normal 11 10" xfId="442"/>
    <cellStyle name="Normal 11 10 2" xfId="1034"/>
    <cellStyle name="Normal 11 11" xfId="528"/>
    <cellStyle name="Normal 11 11 2" xfId="1082"/>
    <cellStyle name="Normal 11 12" xfId="798"/>
    <cellStyle name="Normal 11 2" xfId="201"/>
    <cellStyle name="Normal 11 2 2" xfId="557"/>
    <cellStyle name="Normal 11 2 2 2" xfId="1099"/>
    <cellStyle name="Normal 11 2 3" xfId="870"/>
    <cellStyle name="Normal 11 3" xfId="323"/>
    <cellStyle name="Normal 11 3 2" xfId="710"/>
    <cellStyle name="Normal 11 3 2 2" xfId="1247"/>
    <cellStyle name="Normal 11 3 3" xfId="960"/>
    <cellStyle name="Normal 11 4" xfId="357"/>
    <cellStyle name="Normal 11 4 2" xfId="736"/>
    <cellStyle name="Normal 11 4 2 2" xfId="1273"/>
    <cellStyle name="Normal 11 4 3" xfId="986"/>
    <cellStyle name="Normal 11 5" xfId="375"/>
    <cellStyle name="Normal 11 5 2" xfId="746"/>
    <cellStyle name="Normal 11 5 2 2" xfId="1283"/>
    <cellStyle name="Normal 11 5 3" xfId="996"/>
    <cellStyle name="Normal 11 6" xfId="393"/>
    <cellStyle name="Normal 11 6 2" xfId="756"/>
    <cellStyle name="Normal 11 6 2 2" xfId="1293"/>
    <cellStyle name="Normal 11 6 3" xfId="1006"/>
    <cellStyle name="Normal 11 7" xfId="409"/>
    <cellStyle name="Normal 11 7 2" xfId="764"/>
    <cellStyle name="Normal 11 7 2 2" xfId="1301"/>
    <cellStyle name="Normal 11 7 3" xfId="1014"/>
    <cellStyle name="Normal 11 8" xfId="425"/>
    <cellStyle name="Normal 11 8 2" xfId="772"/>
    <cellStyle name="Normal 11 8 2 2" xfId="1309"/>
    <cellStyle name="Normal 11 8 3" xfId="1022"/>
    <cellStyle name="Normal 11 9" xfId="84"/>
    <cellStyle name="Normal 11 9 2" xfId="806"/>
    <cellStyle name="Normal 12" xfId="70"/>
    <cellStyle name="Normal 12 10" xfId="443"/>
    <cellStyle name="Normal 12 10 2" xfId="1035"/>
    <cellStyle name="Normal 12 11" xfId="529"/>
    <cellStyle name="Normal 12 11 2" xfId="1083"/>
    <cellStyle name="Normal 12 12" xfId="799"/>
    <cellStyle name="Normal 12 2" xfId="202"/>
    <cellStyle name="Normal 12 2 2" xfId="558"/>
    <cellStyle name="Normal 12 2 2 2" xfId="1100"/>
    <cellStyle name="Normal 12 2 3" xfId="871"/>
    <cellStyle name="Normal 12 3" xfId="324"/>
    <cellStyle name="Normal 12 3 2" xfId="711"/>
    <cellStyle name="Normal 12 3 2 2" xfId="1248"/>
    <cellStyle name="Normal 12 3 3" xfId="961"/>
    <cellStyle name="Normal 12 4" xfId="285"/>
    <cellStyle name="Normal 12 4 2" xfId="694"/>
    <cellStyle name="Normal 12 4 2 2" xfId="1231"/>
    <cellStyle name="Normal 12 4 3" xfId="944"/>
    <cellStyle name="Normal 12 5" xfId="329"/>
    <cellStyle name="Normal 12 5 2" xfId="715"/>
    <cellStyle name="Normal 12 5 2 2" xfId="1252"/>
    <cellStyle name="Normal 12 5 3" xfId="965"/>
    <cellStyle name="Normal 12 6" xfId="280"/>
    <cellStyle name="Normal 12 6 2" xfId="690"/>
    <cellStyle name="Normal 12 6 2 2" xfId="1227"/>
    <cellStyle name="Normal 12 6 3" xfId="940"/>
    <cellStyle name="Normal 12 7" xfId="333"/>
    <cellStyle name="Normal 12 7 2" xfId="719"/>
    <cellStyle name="Normal 12 7 2 2" xfId="1256"/>
    <cellStyle name="Normal 12 7 3" xfId="969"/>
    <cellStyle name="Normal 12 8" xfId="276"/>
    <cellStyle name="Normal 12 8 2" xfId="686"/>
    <cellStyle name="Normal 12 8 2 2" xfId="1223"/>
    <cellStyle name="Normal 12 8 3" xfId="936"/>
    <cellStyle name="Normal 12 9" xfId="85"/>
    <cellStyle name="Normal 12 9 2" xfId="807"/>
    <cellStyle name="Normal 13" xfId="203"/>
    <cellStyle name="Normal 13 2" xfId="560"/>
    <cellStyle name="Normal 13 2 2" xfId="1102"/>
    <cellStyle name="Normal 13 3" xfId="563"/>
    <cellStyle name="Normal 13 3 2" xfId="1103"/>
    <cellStyle name="Normal 13 4" xfId="559"/>
    <cellStyle name="Normal 13 4 2" xfId="1101"/>
    <cellStyle name="Normal 13 5" xfId="872"/>
    <cellStyle name="Normal 14" xfId="204"/>
    <cellStyle name="Normal 14 2" xfId="68"/>
    <cellStyle name="Normal 14 2 2" xfId="86"/>
    <cellStyle name="Normal 14 2 2 2" xfId="556"/>
    <cellStyle name="Normal 14 2 2 2 2" xfId="1098"/>
    <cellStyle name="Normal 14 2 2 3" xfId="808"/>
    <cellStyle name="Normal 14 2 3" xfId="444"/>
    <cellStyle name="Normal 14 2 3 2" xfId="1036"/>
    <cellStyle name="Normal 14 2 4" xfId="527"/>
    <cellStyle name="Normal 14 2 4 2" xfId="1081"/>
    <cellStyle name="Normal 14 2 5" xfId="797"/>
    <cellStyle name="Normal 14 3" xfId="495"/>
    <cellStyle name="Normal 14 3 2" xfId="1066"/>
    <cellStyle name="Normal 14 4" xfId="873"/>
    <cellStyle name="Normal 15" xfId="18"/>
    <cellStyle name="Normal 15 10" xfId="445"/>
    <cellStyle name="Normal 15 10 2" xfId="1037"/>
    <cellStyle name="Normal 15 11" xfId="506"/>
    <cellStyle name="Normal 15 11 2" xfId="1068"/>
    <cellStyle name="Normal 15 12" xfId="785"/>
    <cellStyle name="Normal 15 2" xfId="205"/>
    <cellStyle name="Normal 15 2 2" xfId="537"/>
    <cellStyle name="Normal 15 2 2 2" xfId="1087"/>
    <cellStyle name="Normal 15 2 3" xfId="874"/>
    <cellStyle name="Normal 15 3" xfId="327"/>
    <cellStyle name="Normal 15 3 2" xfId="714"/>
    <cellStyle name="Normal 15 3 2 2" xfId="1251"/>
    <cellStyle name="Normal 15 3 3" xfId="964"/>
    <cellStyle name="Normal 15 4" xfId="282"/>
    <cellStyle name="Normal 15 4 2" xfId="691"/>
    <cellStyle name="Normal 15 4 2 2" xfId="1228"/>
    <cellStyle name="Normal 15 4 3" xfId="941"/>
    <cellStyle name="Normal 15 5" xfId="359"/>
    <cellStyle name="Normal 15 5 2" xfId="737"/>
    <cellStyle name="Normal 15 5 2 2" xfId="1274"/>
    <cellStyle name="Normal 15 5 3" xfId="987"/>
    <cellStyle name="Normal 15 6" xfId="377"/>
    <cellStyle name="Normal 15 6 2" xfId="747"/>
    <cellStyle name="Normal 15 6 2 2" xfId="1284"/>
    <cellStyle name="Normal 15 6 3" xfId="997"/>
    <cellStyle name="Normal 15 7" xfId="395"/>
    <cellStyle name="Normal 15 7 2" xfId="757"/>
    <cellStyle name="Normal 15 7 2 2" xfId="1294"/>
    <cellStyle name="Normal 15 7 3" xfId="1007"/>
    <cellStyle name="Normal 15 8" xfId="411"/>
    <cellStyle name="Normal 15 8 2" xfId="765"/>
    <cellStyle name="Normal 15 8 2 2" xfId="1302"/>
    <cellStyle name="Normal 15 8 3" xfId="1015"/>
    <cellStyle name="Normal 15 9" xfId="87"/>
    <cellStyle name="Normal 15 9 2" xfId="809"/>
    <cellStyle name="Normal 16" xfId="206"/>
    <cellStyle name="Normal 16 2" xfId="494"/>
    <cellStyle name="Normal 16 2 2" xfId="1065"/>
    <cellStyle name="Normal 16 3" xfId="875"/>
    <cellStyle name="Normal 17" xfId="207"/>
    <cellStyle name="Normal 17 2" xfId="564"/>
    <cellStyle name="Normal 17 2 2" xfId="1104"/>
    <cellStyle name="Normal 17 3" xfId="876"/>
    <cellStyle name="Normal 18" xfId="61"/>
    <cellStyle name="Normal 18 10" xfId="446"/>
    <cellStyle name="Normal 18 10 2" xfId="1038"/>
    <cellStyle name="Normal 18 11" xfId="521"/>
    <cellStyle name="Normal 18 11 2" xfId="1075"/>
    <cellStyle name="Normal 18 12" xfId="791"/>
    <cellStyle name="Normal 18 2" xfId="208"/>
    <cellStyle name="Normal 18 2 2" xfId="210"/>
    <cellStyle name="Normal 18 2 2 2" xfId="634"/>
    <cellStyle name="Normal 18 2 2 2 2" xfId="1171"/>
    <cellStyle name="Normal 18 2 2 3" xfId="878"/>
    <cellStyle name="Normal 18 2 3" xfId="253"/>
    <cellStyle name="Normal 18 2 3 2" xfId="667"/>
    <cellStyle name="Normal 18 2 3 2 2" xfId="1204"/>
    <cellStyle name="Normal 18 2 3 3" xfId="917"/>
    <cellStyle name="Normal 18 2 4" xfId="266"/>
    <cellStyle name="Normal 18 2 4 2" xfId="679"/>
    <cellStyle name="Normal 18 2 4 2 2" xfId="1216"/>
    <cellStyle name="Normal 18 2 4 3" xfId="929"/>
    <cellStyle name="Normal 18 2 5" xfId="550"/>
    <cellStyle name="Normal 18 2 5 2" xfId="1092"/>
    <cellStyle name="Normal 18 2 6" xfId="877"/>
    <cellStyle name="Normal 18 3" xfId="330"/>
    <cellStyle name="Normal 18 3 2" xfId="716"/>
    <cellStyle name="Normal 18 3 2 2" xfId="1253"/>
    <cellStyle name="Normal 18 3 3" xfId="966"/>
    <cellStyle name="Normal 18 4" xfId="279"/>
    <cellStyle name="Normal 18 4 2" xfId="689"/>
    <cellStyle name="Normal 18 4 2 2" xfId="1226"/>
    <cellStyle name="Normal 18 4 3" xfId="939"/>
    <cellStyle name="Normal 18 5" xfId="334"/>
    <cellStyle name="Normal 18 5 2" xfId="720"/>
    <cellStyle name="Normal 18 5 2 2" xfId="1257"/>
    <cellStyle name="Normal 18 5 3" xfId="970"/>
    <cellStyle name="Normal 18 6" xfId="275"/>
    <cellStyle name="Normal 18 6 2" xfId="685"/>
    <cellStyle name="Normal 18 6 2 2" xfId="1222"/>
    <cellStyle name="Normal 18 6 3" xfId="935"/>
    <cellStyle name="Normal 18 7" xfId="338"/>
    <cellStyle name="Normal 18 7 2" xfId="723"/>
    <cellStyle name="Normal 18 7 2 2" xfId="1260"/>
    <cellStyle name="Normal 18 7 3" xfId="973"/>
    <cellStyle name="Normal 18 8" xfId="273"/>
    <cellStyle name="Normal 18 8 2" xfId="684"/>
    <cellStyle name="Normal 18 8 2 2" xfId="1221"/>
    <cellStyle name="Normal 18 8 3" xfId="934"/>
    <cellStyle name="Normal 18 9" xfId="88"/>
    <cellStyle name="Normal 18 9 2" xfId="810"/>
    <cellStyle name="Normal 19" xfId="211"/>
    <cellStyle name="Normal 19 2" xfId="565"/>
    <cellStyle name="Normal 19 2 2" xfId="1105"/>
    <cellStyle name="Normal 19 3" xfId="879"/>
    <cellStyle name="Normal 2" xfId="10"/>
    <cellStyle name="Normal 2 2" xfId="11"/>
    <cellStyle name="Normal 2 2 2" xfId="30"/>
    <cellStyle name="Normal 2 2 2 2" xfId="57"/>
    <cellStyle name="Normal 2 2_Working APR 2007-08 Mahagenco_Bhushan_1.3" xfId="31"/>
    <cellStyle name="Normal 2 3" xfId="12"/>
    <cellStyle name="Normal 2 3 2" xfId="214"/>
    <cellStyle name="Normal 2 3 3" xfId="336"/>
    <cellStyle name="Normal 2 3 4" xfId="274"/>
    <cellStyle name="Normal 2 3 5" xfId="339"/>
    <cellStyle name="Normal 2 3 6" xfId="272"/>
    <cellStyle name="Normal 2 3 7" xfId="340"/>
    <cellStyle name="Normal 2 3 8" xfId="271"/>
    <cellStyle name="Normal 2 4" xfId="52"/>
    <cellStyle name="Normal 2_ARR FINAL" xfId="32"/>
    <cellStyle name="Normal 20" xfId="215"/>
    <cellStyle name="Normal 20 2" xfId="566"/>
    <cellStyle name="Normal 20 2 2" xfId="1106"/>
    <cellStyle name="Normal 20 3" xfId="882"/>
    <cellStyle name="Normal 21" xfId="216"/>
    <cellStyle name="Normal 21 2" xfId="567"/>
    <cellStyle name="Normal 21 2 2" xfId="1107"/>
    <cellStyle name="Normal 21 3" xfId="883"/>
    <cellStyle name="Normal 22" xfId="217"/>
    <cellStyle name="Normal 22 2" xfId="533"/>
    <cellStyle name="Normal 22 2 2" xfId="1084"/>
    <cellStyle name="Normal 22 3" xfId="884"/>
    <cellStyle name="Normal 23" xfId="218"/>
    <cellStyle name="Normal 23 2" xfId="568"/>
    <cellStyle name="Normal 23 2 2" xfId="1108"/>
    <cellStyle name="Normal 23 3" xfId="885"/>
    <cellStyle name="Normal 24" xfId="219"/>
    <cellStyle name="Normal 24 2" xfId="504"/>
    <cellStyle name="Normal 24 3" xfId="637"/>
    <cellStyle name="Normal 24 3 2" xfId="1174"/>
    <cellStyle name="Normal 24 4" xfId="886"/>
    <cellStyle name="Normal 25" xfId="220"/>
    <cellStyle name="Normal 25 2" xfId="562"/>
    <cellStyle name="Normal 25 3" xfId="638"/>
    <cellStyle name="Normal 25 3 2" xfId="1175"/>
    <cellStyle name="Normal 25 4" xfId="887"/>
    <cellStyle name="Normal 26" xfId="221"/>
    <cellStyle name="Normal 26 2" xfId="572"/>
    <cellStyle name="Normal 26 3" xfId="639"/>
    <cellStyle name="Normal 26 3 2" xfId="1176"/>
    <cellStyle name="Normal 26 4" xfId="888"/>
    <cellStyle name="Normal 27" xfId="222"/>
    <cellStyle name="Normal 27 2" xfId="640"/>
    <cellStyle name="Normal 27 2 2" xfId="1177"/>
    <cellStyle name="Normal 27 3" xfId="889"/>
    <cellStyle name="Normal 28" xfId="223"/>
    <cellStyle name="Normal 28 2" xfId="641"/>
    <cellStyle name="Normal 28 2 2" xfId="1178"/>
    <cellStyle name="Normal 28 3" xfId="890"/>
    <cellStyle name="Normal 29" xfId="224"/>
    <cellStyle name="Normal 29 2" xfId="642"/>
    <cellStyle name="Normal 29 2 2" xfId="1179"/>
    <cellStyle name="Normal 29 3" xfId="891"/>
    <cellStyle name="Normal 3" xfId="13"/>
    <cellStyle name="Normal 3 10" xfId="270"/>
    <cellStyle name="Normal 3 10 2" xfId="683"/>
    <cellStyle name="Normal 3 10 2 2" xfId="1220"/>
    <cellStyle name="Normal 3 10 3" xfId="933"/>
    <cellStyle name="Normal 3 11" xfId="343"/>
    <cellStyle name="Normal 3 11 2" xfId="726"/>
    <cellStyle name="Normal 3 11 2 2" xfId="1263"/>
    <cellStyle name="Normal 3 11 3" xfId="976"/>
    <cellStyle name="Normal 3 12" xfId="135"/>
    <cellStyle name="Normal 3 12 2" xfId="594"/>
    <cellStyle name="Normal 3 12 2 2" xfId="1131"/>
    <cellStyle name="Normal 3 12 3" xfId="831"/>
    <cellStyle name="Normal 3 13" xfId="361"/>
    <cellStyle name="Normal 3 13 2" xfId="738"/>
    <cellStyle name="Normal 3 13 2 2" xfId="1275"/>
    <cellStyle name="Normal 3 13 3" xfId="988"/>
    <cellStyle name="Normal 3 14" xfId="379"/>
    <cellStyle name="Normal 3 14 2" xfId="748"/>
    <cellStyle name="Normal 3 14 2 2" xfId="1285"/>
    <cellStyle name="Normal 3 14 3" xfId="998"/>
    <cellStyle name="Normal 3 2" xfId="33"/>
    <cellStyle name="Normal 3 2 2" xfId="58"/>
    <cellStyle name="Normal 3 2 3" xfId="226"/>
    <cellStyle name="Normal 3 2 3 2" xfId="644"/>
    <cellStyle name="Normal 3 2 3 2 2" xfId="1181"/>
    <cellStyle name="Normal 3 2 3 3" xfId="893"/>
    <cellStyle name="Normal 3 2 4" xfId="342"/>
    <cellStyle name="Normal 3 2 4 2" xfId="725"/>
    <cellStyle name="Normal 3 2 4 2 2" xfId="1262"/>
    <cellStyle name="Normal 3 2 4 3" xfId="975"/>
    <cellStyle name="Normal 3 2 5" xfId="269"/>
    <cellStyle name="Normal 3 2 5 2" xfId="682"/>
    <cellStyle name="Normal 3 2 5 2 2" xfId="1219"/>
    <cellStyle name="Normal 3 2 5 3" xfId="932"/>
    <cellStyle name="Normal 3 2 6" xfId="344"/>
    <cellStyle name="Normal 3 2 6 2" xfId="727"/>
    <cellStyle name="Normal 3 2 6 2 2" xfId="1264"/>
    <cellStyle name="Normal 3 2 6 3" xfId="977"/>
    <cellStyle name="Normal 3 2 7" xfId="143"/>
    <cellStyle name="Normal 3 2 7 2" xfId="601"/>
    <cellStyle name="Normal 3 2 7 2 2" xfId="1138"/>
    <cellStyle name="Normal 3 2 7 3" xfId="838"/>
    <cellStyle name="Normal 3 2 8" xfId="363"/>
    <cellStyle name="Normal 3 2 8 2" xfId="739"/>
    <cellStyle name="Normal 3 2 8 2 2" xfId="1276"/>
    <cellStyle name="Normal 3 2 8 3" xfId="989"/>
    <cellStyle name="Normal 3 2 9" xfId="381"/>
    <cellStyle name="Normal 3 2 9 2" xfId="749"/>
    <cellStyle name="Normal 3 2 9 2 2" xfId="1286"/>
    <cellStyle name="Normal 3 2 9 3" xfId="999"/>
    <cellStyle name="Normal 3 3" xfId="225"/>
    <cellStyle name="Normal 3 3 2" xfId="643"/>
    <cellStyle name="Normal 3 3 2 2" xfId="1180"/>
    <cellStyle name="Normal 3 3 3" xfId="892"/>
    <cellStyle name="Normal 3 4" xfId="227"/>
    <cellStyle name="Normal 3 4 2" xfId="645"/>
    <cellStyle name="Normal 3 4 2 2" xfId="1182"/>
    <cellStyle name="Normal 3 4 3" xfId="894"/>
    <cellStyle name="Normal 3 5" xfId="228"/>
    <cellStyle name="Normal 3 5 2" xfId="646"/>
    <cellStyle name="Normal 3 5 2 2" xfId="1183"/>
    <cellStyle name="Normal 3 5 3" xfId="895"/>
    <cellStyle name="Normal 3 6" xfId="229"/>
    <cellStyle name="Normal 3 6 2" xfId="647"/>
    <cellStyle name="Normal 3 6 2 2" xfId="1184"/>
    <cellStyle name="Normal 3 6 3" xfId="896"/>
    <cellStyle name="Normal 3 7" xfId="230"/>
    <cellStyle name="Normal 3 7 2" xfId="648"/>
    <cellStyle name="Normal 3 7 2 2" xfId="1185"/>
    <cellStyle name="Normal 3 7 3" xfId="897"/>
    <cellStyle name="Normal 3 8" xfId="231"/>
    <cellStyle name="Normal 3 8 2" xfId="649"/>
    <cellStyle name="Normal 3 8 2 2" xfId="1186"/>
    <cellStyle name="Normal 3 8 3" xfId="898"/>
    <cellStyle name="Normal 3 9" xfId="341"/>
    <cellStyle name="Normal 3 9 2" xfId="724"/>
    <cellStyle name="Normal 3 9 2 2" xfId="1261"/>
    <cellStyle name="Normal 3 9 3" xfId="974"/>
    <cellStyle name="Normal 30" xfId="232"/>
    <cellStyle name="Normal 30 2" xfId="650"/>
    <cellStyle name="Normal 30 2 2" xfId="1187"/>
    <cellStyle name="Normal 30 3" xfId="899"/>
    <cellStyle name="Normal 31" xfId="247"/>
    <cellStyle name="Normal 31 2" xfId="662"/>
    <cellStyle name="Normal 31 2 2" xfId="1199"/>
    <cellStyle name="Normal 31 3" xfId="912"/>
    <cellStyle name="Normal 32" xfId="254"/>
    <cellStyle name="Normal 32 2" xfId="668"/>
    <cellStyle name="Normal 32 2 2" xfId="1205"/>
    <cellStyle name="Normal 32 3" xfId="918"/>
    <cellStyle name="Normal 33" xfId="256"/>
    <cellStyle name="Normal 33 2" xfId="670"/>
    <cellStyle name="Normal 33 2 2" xfId="1207"/>
    <cellStyle name="Normal 33 3" xfId="920"/>
    <cellStyle name="Normal 34" xfId="258"/>
    <cellStyle name="Normal 34 2" xfId="672"/>
    <cellStyle name="Normal 34 2 2" xfId="1209"/>
    <cellStyle name="Normal 34 3" xfId="922"/>
    <cellStyle name="Normal 35" xfId="260"/>
    <cellStyle name="Normal 35 2" xfId="674"/>
    <cellStyle name="Normal 35 2 2" xfId="1211"/>
    <cellStyle name="Normal 35 3" xfId="924"/>
    <cellStyle name="Normal 36" xfId="268"/>
    <cellStyle name="Normal 36 2" xfId="681"/>
    <cellStyle name="Normal 36 2 2" xfId="1218"/>
    <cellStyle name="Normal 36 3" xfId="931"/>
    <cellStyle name="Normal 37" xfId="435"/>
    <cellStyle name="Normal 37 2" xfId="1028"/>
    <cellStyle name="Normal 38" xfId="451"/>
    <cellStyle name="Normal 38 2" xfId="1043"/>
    <cellStyle name="Normal 39" xfId="22"/>
    <cellStyle name="Normal 4" xfId="34"/>
    <cellStyle name="Normal 4 10" xfId="167"/>
    <cellStyle name="Normal 4 10 2" xfId="620"/>
    <cellStyle name="Normal 4 10 2 2" xfId="1157"/>
    <cellStyle name="Normal 4 10 3" xfId="857"/>
    <cellStyle name="Normal 4 11" xfId="369"/>
    <cellStyle name="Normal 4 11 2" xfId="741"/>
    <cellStyle name="Normal 4 11 2 2" xfId="1278"/>
    <cellStyle name="Normal 4 11 3" xfId="991"/>
    <cellStyle name="Normal 4 12" xfId="387"/>
    <cellStyle name="Normal 4 12 2" xfId="751"/>
    <cellStyle name="Normal 4 12 2 2" xfId="1288"/>
    <cellStyle name="Normal 4 12 3" xfId="1001"/>
    <cellStyle name="Normal 4 13" xfId="403"/>
    <cellStyle name="Normal 4 13 2" xfId="759"/>
    <cellStyle name="Normal 4 13 2 2" xfId="1296"/>
    <cellStyle name="Normal 4 13 3" xfId="1009"/>
    <cellStyle name="Normal 4 14" xfId="418"/>
    <cellStyle name="Normal 4 14 2" xfId="767"/>
    <cellStyle name="Normal 4 14 2 2" xfId="1304"/>
    <cellStyle name="Normal 4 14 3" xfId="1017"/>
    <cellStyle name="Normal 4 2" xfId="59"/>
    <cellStyle name="Normal 4 2 2" xfId="234"/>
    <cellStyle name="Normal 4 2 2 2" xfId="652"/>
    <cellStyle name="Normal 4 2 2 2 2" xfId="1189"/>
    <cellStyle name="Normal 4 2 2 3" xfId="901"/>
    <cellStyle name="Normal 4 2 3" xfId="346"/>
    <cellStyle name="Normal 4 2 3 2" xfId="729"/>
    <cellStyle name="Normal 4 2 3 2 2" xfId="1266"/>
    <cellStyle name="Normal 4 2 3 3" xfId="979"/>
    <cellStyle name="Normal 4 2 4" xfId="195"/>
    <cellStyle name="Normal 4 2 4 2" xfId="632"/>
    <cellStyle name="Normal 4 2 4 2 2" xfId="1169"/>
    <cellStyle name="Normal 4 2 4 3" xfId="868"/>
    <cellStyle name="Normal 4 2 5" xfId="347"/>
    <cellStyle name="Normal 4 2 5 2" xfId="730"/>
    <cellStyle name="Normal 4 2 5 2 2" xfId="1267"/>
    <cellStyle name="Normal 4 2 5 3" xfId="980"/>
    <cellStyle name="Normal 4 2 6" xfId="212"/>
    <cellStyle name="Normal 4 2 6 2" xfId="635"/>
    <cellStyle name="Normal 4 2 6 2 2" xfId="1172"/>
    <cellStyle name="Normal 4 2 6 3" xfId="880"/>
    <cellStyle name="Normal 4 2 7" xfId="350"/>
    <cellStyle name="Normal 4 2 7 2" xfId="731"/>
    <cellStyle name="Normal 4 2 7 2 2" xfId="1268"/>
    <cellStyle name="Normal 4 2 7 3" xfId="981"/>
    <cellStyle name="Normal 4 2 8" xfId="213"/>
    <cellStyle name="Normal 4 2 8 2" xfId="636"/>
    <cellStyle name="Normal 4 2 8 2 2" xfId="1173"/>
    <cellStyle name="Normal 4 2 8 3" xfId="881"/>
    <cellStyle name="Normal 4 3" xfId="233"/>
    <cellStyle name="Normal 4 3 2" xfId="651"/>
    <cellStyle name="Normal 4 3 2 2" xfId="1188"/>
    <cellStyle name="Normal 4 3 3" xfId="900"/>
    <cellStyle name="Normal 4 4" xfId="235"/>
    <cellStyle name="Normal 4 4 2" xfId="653"/>
    <cellStyle name="Normal 4 4 2 2" xfId="1190"/>
    <cellStyle name="Normal 4 4 3" xfId="902"/>
    <cellStyle name="Normal 4 5" xfId="236"/>
    <cellStyle name="Normal 4 5 2" xfId="654"/>
    <cellStyle name="Normal 4 5 2 2" xfId="1191"/>
    <cellStyle name="Normal 4 5 3" xfId="903"/>
    <cellStyle name="Normal 4 6" xfId="237"/>
    <cellStyle name="Normal 4 6 2" xfId="655"/>
    <cellStyle name="Normal 4 6 2 2" xfId="1192"/>
    <cellStyle name="Normal 4 6 3" xfId="904"/>
    <cellStyle name="Normal 4 7" xfId="238"/>
    <cellStyle name="Normal 4 7 2" xfId="656"/>
    <cellStyle name="Normal 4 7 2 2" xfId="1193"/>
    <cellStyle name="Normal 4 7 3" xfId="905"/>
    <cellStyle name="Normal 4 8" xfId="239"/>
    <cellStyle name="Normal 4 8 2" xfId="657"/>
    <cellStyle name="Normal 4 8 2 2" xfId="1194"/>
    <cellStyle name="Normal 4 8 3" xfId="906"/>
    <cellStyle name="Normal 4 9" xfId="345"/>
    <cellStyle name="Normal 4 9 2" xfId="728"/>
    <cellStyle name="Normal 4 9 2 2" xfId="1265"/>
    <cellStyle name="Normal 4 9 3" xfId="978"/>
    <cellStyle name="Normal 40" xfId="453"/>
    <cellStyle name="Normal 40 2" xfId="1045"/>
    <cellStyle name="Normal 41" xfId="455"/>
    <cellStyle name="Normal 41 2" xfId="1047"/>
    <cellStyle name="Normal 42" xfId="457"/>
    <cellStyle name="Normal 42 2" xfId="1049"/>
    <cellStyle name="Normal 43" xfId="493"/>
    <cellStyle name="Normal 43 2" xfId="1064"/>
    <cellStyle name="Normal 44" xfId="509"/>
    <cellStyle name="Normal 44 2" xfId="1071"/>
    <cellStyle name="Normal 45" xfId="779"/>
    <cellStyle name="Normal 45 2" xfId="1316"/>
    <cellStyle name="Normal 46" xfId="623"/>
    <cellStyle name="Normal 46 2" xfId="1160"/>
    <cellStyle name="Normal 47" xfId="782"/>
    <cellStyle name="Normal 47 2" xfId="1319"/>
    <cellStyle name="Normal 48" xfId="780"/>
    <cellStyle name="Normal 48 2" xfId="1317"/>
    <cellStyle name="Normal 5" xfId="35"/>
    <cellStyle name="Normal 5 10" xfId="89"/>
    <cellStyle name="Normal 5 10 2" xfId="811"/>
    <cellStyle name="Normal 5 11" xfId="447"/>
    <cellStyle name="Normal 5 11 2" xfId="1039"/>
    <cellStyle name="Normal 5 12" xfId="517"/>
    <cellStyle name="Normal 5 12 2" xfId="1072"/>
    <cellStyle name="Normal 5 13" xfId="788"/>
    <cellStyle name="Normal 5 2" xfId="36"/>
    <cellStyle name="Normal 5 3" xfId="240"/>
    <cellStyle name="Normal 5 3 2" xfId="547"/>
    <cellStyle name="Normal 5 3 2 2" xfId="1090"/>
    <cellStyle name="Normal 5 4" xfId="351"/>
    <cellStyle name="Normal 5 5" xfId="370"/>
    <cellStyle name="Normal 5 6" xfId="388"/>
    <cellStyle name="Normal 5 7" xfId="404"/>
    <cellStyle name="Normal 5 8" xfId="419"/>
    <cellStyle name="Normal 5 9" xfId="430"/>
    <cellStyle name="Normal 6" xfId="37"/>
    <cellStyle name="Normal 6 2" xfId="241"/>
    <cellStyle name="Normal 6 2 2" xfId="658"/>
    <cellStyle name="Normal 6 2 2 2" xfId="1195"/>
    <cellStyle name="Normal 6 2 3" xfId="907"/>
    <cellStyle name="Normal 6 3" xfId="352"/>
    <cellStyle name="Normal 6 3 2" xfId="732"/>
    <cellStyle name="Normal 6 3 2 2" xfId="1269"/>
    <cellStyle name="Normal 6 3 3" xfId="982"/>
    <cellStyle name="Normal 6 4" xfId="371"/>
    <cellStyle name="Normal 6 4 2" xfId="742"/>
    <cellStyle name="Normal 6 4 2 2" xfId="1279"/>
    <cellStyle name="Normal 6 4 3" xfId="992"/>
    <cellStyle name="Normal 6 5" xfId="389"/>
    <cellStyle name="Normal 6 5 2" xfId="752"/>
    <cellStyle name="Normal 6 5 2 2" xfId="1289"/>
    <cellStyle name="Normal 6 5 3" xfId="1002"/>
    <cellStyle name="Normal 6 6" xfId="405"/>
    <cellStyle name="Normal 6 6 2" xfId="760"/>
    <cellStyle name="Normal 6 6 2 2" xfId="1297"/>
    <cellStyle name="Normal 6 6 3" xfId="1010"/>
    <cellStyle name="Normal 6 7" xfId="420"/>
    <cellStyle name="Normal 6 7 2" xfId="768"/>
    <cellStyle name="Normal 6 7 2 2" xfId="1305"/>
    <cellStyle name="Normal 6 7 3" xfId="1018"/>
    <cellStyle name="Normal 6 8" xfId="431"/>
    <cellStyle name="Normal 6 8 2" xfId="774"/>
    <cellStyle name="Normal 6 8 2 2" xfId="1311"/>
    <cellStyle name="Normal 6 8 3" xfId="1024"/>
    <cellStyle name="Normal 7" xfId="38"/>
    <cellStyle name="Normal 7 10" xfId="448"/>
    <cellStyle name="Normal 7 10 2" xfId="1040"/>
    <cellStyle name="Normal 7 11" xfId="518"/>
    <cellStyle name="Normal 7 11 2" xfId="1073"/>
    <cellStyle name="Normal 7 12" xfId="789"/>
    <cellStyle name="Normal 7 2" xfId="242"/>
    <cellStyle name="Normal 7 2 2" xfId="244"/>
    <cellStyle name="Normal 7 2 2 2" xfId="659"/>
    <cellStyle name="Normal 7 2 2 2 2" xfId="1196"/>
    <cellStyle name="Normal 7 2 2 3" xfId="909"/>
    <cellStyle name="Normal 7 2 3" xfId="548"/>
    <cellStyle name="Normal 7 2 3 2" xfId="1091"/>
    <cellStyle name="Normal 7 2 4" xfId="908"/>
    <cellStyle name="Normal 7 3" xfId="353"/>
    <cellStyle name="Normal 7 3 2" xfId="733"/>
    <cellStyle name="Normal 7 3 2 2" xfId="1270"/>
    <cellStyle name="Normal 7 3 3" xfId="983"/>
    <cellStyle name="Normal 7 4" xfId="372"/>
    <cellStyle name="Normal 7 4 2" xfId="743"/>
    <cellStyle name="Normal 7 4 2 2" xfId="1280"/>
    <cellStyle name="Normal 7 4 3" xfId="993"/>
    <cellStyle name="Normal 7 5" xfId="390"/>
    <cellStyle name="Normal 7 5 2" xfId="753"/>
    <cellStyle name="Normal 7 5 2 2" xfId="1290"/>
    <cellStyle name="Normal 7 5 3" xfId="1003"/>
    <cellStyle name="Normal 7 6" xfId="406"/>
    <cellStyle name="Normal 7 6 2" xfId="761"/>
    <cellStyle name="Normal 7 6 2 2" xfId="1298"/>
    <cellStyle name="Normal 7 6 3" xfId="1011"/>
    <cellStyle name="Normal 7 7" xfId="421"/>
    <cellStyle name="Normal 7 7 2" xfId="769"/>
    <cellStyle name="Normal 7 7 2 2" xfId="1306"/>
    <cellStyle name="Normal 7 7 3" xfId="1019"/>
    <cellStyle name="Normal 7 8" xfId="432"/>
    <cellStyle name="Normal 7 8 2" xfId="775"/>
    <cellStyle name="Normal 7 8 2 2" xfId="1312"/>
    <cellStyle name="Normal 7 8 3" xfId="1025"/>
    <cellStyle name="Normal 7 9" xfId="90"/>
    <cellStyle name="Normal 7 9 2" xfId="812"/>
    <cellStyle name="Normal 8" xfId="53"/>
    <cellStyle name="Normal 8 2" xfId="245"/>
    <cellStyle name="Normal 8 2 2" xfId="660"/>
    <cellStyle name="Normal 8 2 2 2" xfId="1197"/>
    <cellStyle name="Normal 8 2 3" xfId="910"/>
    <cellStyle name="Normal 8 3" xfId="355"/>
    <cellStyle name="Normal 8 3 2" xfId="734"/>
    <cellStyle name="Normal 8 3 2 2" xfId="1271"/>
    <cellStyle name="Normal 8 3 3" xfId="984"/>
    <cellStyle name="Normal 8 4" xfId="373"/>
    <cellStyle name="Normal 8 4 2" xfId="744"/>
    <cellStyle name="Normal 8 4 2 2" xfId="1281"/>
    <cellStyle name="Normal 8 4 3" xfId="994"/>
    <cellStyle name="Normal 8 5" xfId="391"/>
    <cellStyle name="Normal 8 5 2" xfId="754"/>
    <cellStyle name="Normal 8 5 2 2" xfId="1291"/>
    <cellStyle name="Normal 8 5 3" xfId="1004"/>
    <cellStyle name="Normal 8 6" xfId="407"/>
    <cellStyle name="Normal 8 6 2" xfId="762"/>
    <cellStyle name="Normal 8 6 2 2" xfId="1299"/>
    <cellStyle name="Normal 8 6 3" xfId="1012"/>
    <cellStyle name="Normal 8 7" xfId="423"/>
    <cellStyle name="Normal 8 7 2" xfId="770"/>
    <cellStyle name="Normal 8 7 2 2" xfId="1307"/>
    <cellStyle name="Normal 8 7 3" xfId="1020"/>
    <cellStyle name="Normal 8 8" xfId="433"/>
    <cellStyle name="Normal 8 8 2" xfId="776"/>
    <cellStyle name="Normal 8 8 2 2" xfId="1313"/>
    <cellStyle name="Normal 8 8 3" xfId="1026"/>
    <cellStyle name="Normal 9" xfId="54"/>
    <cellStyle name="Normal 9 2" xfId="246"/>
    <cellStyle name="Normal 9 2 2" xfId="661"/>
    <cellStyle name="Normal 9 2 2 2" xfId="1198"/>
    <cellStyle name="Normal 9 2 3" xfId="911"/>
    <cellStyle name="Normal 9 3" xfId="356"/>
    <cellStyle name="Normal 9 3 2" xfId="735"/>
    <cellStyle name="Normal 9 3 2 2" xfId="1272"/>
    <cellStyle name="Normal 9 3 3" xfId="985"/>
    <cellStyle name="Normal 9 4" xfId="374"/>
    <cellStyle name="Normal 9 4 2" xfId="745"/>
    <cellStyle name="Normal 9 4 2 2" xfId="1282"/>
    <cellStyle name="Normal 9 4 3" xfId="995"/>
    <cellStyle name="Normal 9 5" xfId="392"/>
    <cellStyle name="Normal 9 5 2" xfId="755"/>
    <cellStyle name="Normal 9 5 2 2" xfId="1292"/>
    <cellStyle name="Normal 9 5 3" xfId="1005"/>
    <cellStyle name="Normal 9 6" xfId="408"/>
    <cellStyle name="Normal 9 6 2" xfId="763"/>
    <cellStyle name="Normal 9 6 2 2" xfId="1300"/>
    <cellStyle name="Normal 9 6 3" xfId="1013"/>
    <cellStyle name="Normal 9 7" xfId="424"/>
    <cellStyle name="Normal 9 7 2" xfId="771"/>
    <cellStyle name="Normal 9 7 2 2" xfId="1308"/>
    <cellStyle name="Normal 9 7 3" xfId="1021"/>
    <cellStyle name="Normal 9 8" xfId="434"/>
    <cellStyle name="Normal 9 8 2" xfId="777"/>
    <cellStyle name="Normal 9 8 2 2" xfId="1314"/>
    <cellStyle name="Normal 9 8 3" xfId="1027"/>
    <cellStyle name="Normal_FORMATS 5 YEAR ALOKE 2" xfId="14"/>
    <cellStyle name="Note 2" xfId="535"/>
    <cellStyle name="Note 2 2" xfId="1086"/>
    <cellStyle name="Output" xfId="468" builtinId="21" customBuiltin="1"/>
    <cellStyle name="Percent [0]_#6 Temps &amp; Contractors" xfId="15"/>
    <cellStyle name="Percent [2]" xfId="16"/>
    <cellStyle name="Percent 10" xfId="532"/>
    <cellStyle name="Percent 11" xfId="571"/>
    <cellStyle name="Percent 2" xfId="39"/>
    <cellStyle name="Percent 2 2" xfId="40"/>
    <cellStyle name="Percent 2 3" xfId="60"/>
    <cellStyle name="Percent 3" xfId="41"/>
    <cellStyle name="Percent 3 2" xfId="42"/>
    <cellStyle name="Percent 4" xfId="23"/>
    <cellStyle name="Percent 41" xfId="20"/>
    <cellStyle name="Percent 41 2" xfId="91"/>
    <cellStyle name="Percent 41 2 2" xfId="539"/>
    <cellStyle name="Percent 41 2 2 2" xfId="1089"/>
    <cellStyle name="Percent 41 2 3" xfId="813"/>
    <cellStyle name="Percent 41 3" xfId="449"/>
    <cellStyle name="Percent 41 3 2" xfId="1041"/>
    <cellStyle name="Percent 41 4" xfId="508"/>
    <cellStyle name="Percent 41 4 2" xfId="1070"/>
    <cellStyle name="Percent 41 5" xfId="787"/>
    <cellStyle name="Percent 5" xfId="43"/>
    <cellStyle name="Percent 5 2" xfId="44"/>
    <cellStyle name="Percent 5 3" xfId="45"/>
    <cellStyle name="Percent 6" xfId="46"/>
    <cellStyle name="Percent 6 2" xfId="47"/>
    <cellStyle name="Percent 7" xfId="66"/>
    <cellStyle name="Percent 7 2" xfId="92"/>
    <cellStyle name="Percent 7 2 2" xfId="554"/>
    <cellStyle name="Percent 7 2 2 2" xfId="1096"/>
    <cellStyle name="Percent 7 2 3" xfId="814"/>
    <cellStyle name="Percent 7 3" xfId="450"/>
    <cellStyle name="Percent 7 3 2" xfId="1042"/>
    <cellStyle name="Percent 7 4" xfId="525"/>
    <cellStyle name="Percent 7 4 2" xfId="1079"/>
    <cellStyle name="Percent 7 5" xfId="795"/>
    <cellStyle name="Percent 8" xfId="540"/>
    <cellStyle name="Percent 9" xfId="510"/>
    <cellStyle name="Style 1" xfId="17"/>
    <cellStyle name="Style 2" xfId="55"/>
    <cellStyle name="Title" xfId="460" builtinId="15" customBuiltin="1"/>
    <cellStyle name="Title 2" xfId="536"/>
    <cellStyle name="Total" xfId="474" builtinId="25" customBuiltin="1"/>
    <cellStyle name="Warning Text" xfId="472" builtinId="11" customBuiltin="1"/>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 val="CAPI_01-02"/>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B2:H28"/>
  <sheetViews>
    <sheetView showGridLines="0" zoomScale="80" zoomScaleNormal="80" zoomScaleSheetLayoutView="80" workbookViewId="0">
      <selection activeCell="E33" sqref="E33"/>
    </sheetView>
  </sheetViews>
  <sheetFormatPr defaultColWidth="9.28515625" defaultRowHeight="15"/>
  <cols>
    <col min="1" max="1" width="6.28515625" style="6" customWidth="1"/>
    <col min="2" max="2" width="9.28515625" style="6" customWidth="1"/>
    <col min="3" max="3" width="16.28515625" style="6" customWidth="1"/>
    <col min="4" max="4" width="75.7109375" style="6" customWidth="1"/>
    <col min="5" max="5" width="17.7109375" style="6" customWidth="1"/>
    <col min="6" max="6" width="20.7109375" style="6" customWidth="1"/>
    <col min="7" max="8" width="18.7109375" style="6" customWidth="1"/>
    <col min="9" max="16384" width="9.28515625" style="6"/>
  </cols>
  <sheetData>
    <row r="2" spans="2:8" ht="15.75">
      <c r="B2" s="245" t="s">
        <v>396</v>
      </c>
      <c r="C2" s="245"/>
      <c r="D2" s="246"/>
      <c r="E2" s="246"/>
      <c r="F2" s="1"/>
      <c r="G2" s="1"/>
      <c r="H2" s="1"/>
    </row>
    <row r="3" spans="2:8" ht="15.75">
      <c r="B3" s="245" t="s">
        <v>467</v>
      </c>
      <c r="C3" s="245"/>
      <c r="D3" s="246"/>
      <c r="E3" s="246"/>
      <c r="F3" s="1"/>
      <c r="G3" s="1"/>
      <c r="H3" s="1"/>
    </row>
    <row r="4" spans="2:8" s="12" customFormat="1" ht="15.75">
      <c r="B4" s="247" t="s">
        <v>367</v>
      </c>
      <c r="C4" s="247"/>
      <c r="D4" s="248"/>
      <c r="E4" s="248"/>
      <c r="F4" s="1"/>
      <c r="G4" s="1"/>
      <c r="H4" s="1"/>
    </row>
    <row r="5" spans="2:8" ht="15.75">
      <c r="D5" s="67" t="s">
        <v>369</v>
      </c>
    </row>
    <row r="6" spans="2:8" ht="15.75">
      <c r="G6" s="7"/>
    </row>
    <row r="7" spans="2:8" ht="15.75">
      <c r="B7" s="13" t="s">
        <v>189</v>
      </c>
      <c r="C7" s="13" t="s">
        <v>368</v>
      </c>
      <c r="D7" s="14" t="s">
        <v>6</v>
      </c>
      <c r="E7" s="14" t="s">
        <v>370</v>
      </c>
    </row>
    <row r="8" spans="2:8">
      <c r="B8" s="8">
        <v>1</v>
      </c>
      <c r="C8" s="8" t="s">
        <v>5</v>
      </c>
      <c r="D8" s="9" t="s">
        <v>372</v>
      </c>
      <c r="E8" s="10"/>
    </row>
    <row r="9" spans="2:8">
      <c r="B9" s="8">
        <f>B8+1</f>
        <v>2</v>
      </c>
      <c r="C9" s="8" t="s">
        <v>262</v>
      </c>
      <c r="D9" s="9" t="s">
        <v>374</v>
      </c>
      <c r="E9" s="10"/>
    </row>
    <row r="10" spans="2:8">
      <c r="B10" s="8">
        <f>B9+1</f>
        <v>3</v>
      </c>
      <c r="C10" s="8" t="s">
        <v>22</v>
      </c>
      <c r="D10" s="9" t="s">
        <v>375</v>
      </c>
      <c r="E10" s="10"/>
    </row>
    <row r="11" spans="2:8">
      <c r="B11" s="8">
        <f>B10+1</f>
        <v>4</v>
      </c>
      <c r="C11" s="8" t="s">
        <v>23</v>
      </c>
      <c r="D11" s="9" t="s">
        <v>376</v>
      </c>
      <c r="E11" s="10"/>
    </row>
    <row r="12" spans="2:8">
      <c r="B12" s="8">
        <f>B11+1</f>
        <v>5</v>
      </c>
      <c r="C12" s="8" t="s">
        <v>263</v>
      </c>
      <c r="D12" s="9" t="s">
        <v>377</v>
      </c>
      <c r="E12" s="10"/>
    </row>
    <row r="13" spans="2:8">
      <c r="B13" s="8">
        <f t="shared" ref="B13:B28" si="0">B12+1</f>
        <v>6</v>
      </c>
      <c r="C13" s="8" t="s">
        <v>20</v>
      </c>
      <c r="D13" s="9" t="s">
        <v>216</v>
      </c>
      <c r="E13" s="10"/>
    </row>
    <row r="14" spans="2:8">
      <c r="B14" s="8">
        <f t="shared" si="0"/>
        <v>7</v>
      </c>
      <c r="C14" s="8" t="s">
        <v>25</v>
      </c>
      <c r="D14" s="9" t="s">
        <v>378</v>
      </c>
      <c r="E14" s="10"/>
    </row>
    <row r="15" spans="2:8">
      <c r="B15" s="8">
        <f t="shared" si="0"/>
        <v>8</v>
      </c>
      <c r="C15" s="8" t="s">
        <v>26</v>
      </c>
      <c r="D15" s="11" t="s">
        <v>186</v>
      </c>
      <c r="E15" s="10"/>
    </row>
    <row r="16" spans="2:8">
      <c r="B16" s="8">
        <f t="shared" si="0"/>
        <v>9</v>
      </c>
      <c r="C16" s="8" t="s">
        <v>21</v>
      </c>
      <c r="D16" s="11" t="s">
        <v>379</v>
      </c>
      <c r="E16" s="10"/>
    </row>
    <row r="17" spans="2:5">
      <c r="B17" s="8">
        <f t="shared" si="0"/>
        <v>10</v>
      </c>
      <c r="C17" s="8" t="s">
        <v>27</v>
      </c>
      <c r="D17" s="9" t="s">
        <v>227</v>
      </c>
      <c r="E17" s="10"/>
    </row>
    <row r="18" spans="2:5">
      <c r="B18" s="8">
        <f t="shared" si="0"/>
        <v>11</v>
      </c>
      <c r="C18" s="8" t="s">
        <v>28</v>
      </c>
      <c r="D18" s="11" t="s">
        <v>285</v>
      </c>
      <c r="E18" s="10"/>
    </row>
    <row r="19" spans="2:5">
      <c r="B19" s="8">
        <f t="shared" si="0"/>
        <v>12</v>
      </c>
      <c r="C19" s="8" t="s">
        <v>29</v>
      </c>
      <c r="D19" s="11" t="s">
        <v>228</v>
      </c>
      <c r="E19" s="10"/>
    </row>
    <row r="20" spans="2:5">
      <c r="B20" s="8">
        <f t="shared" si="0"/>
        <v>13</v>
      </c>
      <c r="C20" s="8" t="s">
        <v>30</v>
      </c>
      <c r="D20" s="11" t="s">
        <v>152</v>
      </c>
      <c r="E20" s="10"/>
    </row>
    <row r="21" spans="2:5">
      <c r="B21" s="8">
        <f t="shared" si="0"/>
        <v>14</v>
      </c>
      <c r="C21" s="8" t="s">
        <v>31</v>
      </c>
      <c r="D21" s="11" t="s">
        <v>24</v>
      </c>
      <c r="E21" s="10"/>
    </row>
    <row r="22" spans="2:5">
      <c r="B22" s="8">
        <f t="shared" si="0"/>
        <v>15</v>
      </c>
      <c r="C22" s="8" t="s">
        <v>32</v>
      </c>
      <c r="D22" s="9" t="s">
        <v>380</v>
      </c>
      <c r="E22" s="10"/>
    </row>
    <row r="23" spans="2:5">
      <c r="B23" s="8">
        <f t="shared" si="0"/>
        <v>16</v>
      </c>
      <c r="C23" s="8" t="s">
        <v>33</v>
      </c>
      <c r="D23" s="9" t="s">
        <v>381</v>
      </c>
      <c r="E23" s="10"/>
    </row>
    <row r="24" spans="2:5">
      <c r="B24" s="8">
        <f t="shared" si="0"/>
        <v>17</v>
      </c>
      <c r="C24" s="8" t="s">
        <v>160</v>
      </c>
      <c r="D24" s="9" t="s">
        <v>231</v>
      </c>
      <c r="E24" s="10"/>
    </row>
    <row r="25" spans="2:5">
      <c r="B25" s="8">
        <f t="shared" si="0"/>
        <v>18</v>
      </c>
      <c r="C25" s="8" t="s">
        <v>165</v>
      </c>
      <c r="D25" s="9" t="s">
        <v>382</v>
      </c>
      <c r="E25" s="10"/>
    </row>
    <row r="26" spans="2:5">
      <c r="B26" s="8">
        <f t="shared" si="0"/>
        <v>19</v>
      </c>
      <c r="C26" s="8" t="s">
        <v>371</v>
      </c>
      <c r="D26" s="9" t="s">
        <v>224</v>
      </c>
      <c r="E26" s="10"/>
    </row>
    <row r="27" spans="2:5">
      <c r="B27" s="8">
        <f t="shared" si="0"/>
        <v>20</v>
      </c>
      <c r="C27" s="8" t="s">
        <v>218</v>
      </c>
      <c r="D27" s="9" t="s">
        <v>383</v>
      </c>
      <c r="E27" s="10"/>
    </row>
    <row r="28" spans="2:5">
      <c r="B28" s="8">
        <f t="shared" si="0"/>
        <v>21</v>
      </c>
      <c r="C28" s="8" t="s">
        <v>219</v>
      </c>
      <c r="D28" s="11" t="s">
        <v>384</v>
      </c>
      <c r="E28" s="10"/>
    </row>
  </sheetData>
  <mergeCells count="3">
    <mergeCell ref="B2:E2"/>
    <mergeCell ref="B4:E4"/>
    <mergeCell ref="B3:E3"/>
  </mergeCells>
  <phoneticPr fontId="14" type="noConversion"/>
  <pageMargins left="0.8" right="0.23622047244094499" top="1.1023622047244099" bottom="0.98425196850393704" header="0.23622047244094499" footer="0.23622047244094499"/>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B1:P23"/>
  <sheetViews>
    <sheetView showGridLines="0" view="pageBreakPreview" zoomScale="90" zoomScaleNormal="93" zoomScaleSheetLayoutView="90" workbookViewId="0">
      <selection activeCell="E33" sqref="E33"/>
    </sheetView>
  </sheetViews>
  <sheetFormatPr defaultColWidth="9.28515625" defaultRowHeight="14.25"/>
  <cols>
    <col min="1" max="1" width="4.28515625" style="5" customWidth="1"/>
    <col min="2" max="2" width="9.28515625" style="5"/>
    <col min="3" max="3" width="23.7109375" style="5" customWidth="1"/>
    <col min="4" max="4" width="14.28515625" style="5" customWidth="1"/>
    <col min="5" max="6" width="13.28515625" style="5" customWidth="1"/>
    <col min="7" max="7" width="10.7109375" style="5" customWidth="1"/>
    <col min="8" max="8" width="14.7109375" style="5" customWidth="1"/>
    <col min="9" max="9" width="10.7109375" style="5" customWidth="1"/>
    <col min="10" max="10" width="15.28515625" style="5" customWidth="1"/>
    <col min="11" max="12" width="10.7109375" style="5" customWidth="1"/>
    <col min="13" max="13" width="13.7109375" style="5" customWidth="1"/>
    <col min="14" max="14" width="15.28515625" style="5" customWidth="1"/>
    <col min="15" max="15" width="10.7109375" style="5" customWidth="1"/>
    <col min="16" max="16" width="13.7109375" style="5" bestFit="1" customWidth="1"/>
    <col min="17" max="22" width="11.7109375" style="5" bestFit="1" customWidth="1"/>
    <col min="23" max="16384" width="9.28515625" style="5"/>
  </cols>
  <sheetData>
    <row r="1" spans="2:15" ht="15">
      <c r="B1" s="25"/>
    </row>
    <row r="2" spans="2:15" ht="15">
      <c r="H2" s="33" t="s">
        <v>397</v>
      </c>
      <c r="I2" s="34"/>
    </row>
    <row r="3" spans="2:15" ht="15">
      <c r="H3" s="33" t="s">
        <v>468</v>
      </c>
      <c r="I3" s="34"/>
    </row>
    <row r="4" spans="2:15" ht="15">
      <c r="H4" s="36" t="s">
        <v>268</v>
      </c>
      <c r="I4" s="36"/>
    </row>
    <row r="5" spans="2:15" ht="15.75" thickBot="1">
      <c r="K5" s="36"/>
      <c r="O5" s="33" t="s">
        <v>4</v>
      </c>
    </row>
    <row r="6" spans="2:15" ht="15">
      <c r="B6" s="270" t="s">
        <v>398</v>
      </c>
      <c r="C6" s="271"/>
      <c r="D6" s="271"/>
      <c r="E6" s="271"/>
      <c r="F6" s="271"/>
      <c r="G6" s="271"/>
      <c r="H6" s="271"/>
      <c r="I6" s="271"/>
      <c r="J6" s="271"/>
      <c r="K6" s="271"/>
      <c r="L6" s="271"/>
      <c r="M6" s="271"/>
      <c r="N6" s="271"/>
      <c r="O6" s="272"/>
    </row>
    <row r="7" spans="2:15" ht="14.25" customHeight="1">
      <c r="B7" s="273" t="s">
        <v>2</v>
      </c>
      <c r="C7" s="275" t="s">
        <v>261</v>
      </c>
      <c r="D7" s="277" t="s">
        <v>249</v>
      </c>
      <c r="E7" s="277" t="s">
        <v>250</v>
      </c>
      <c r="F7" s="277" t="s">
        <v>251</v>
      </c>
      <c r="G7" s="277"/>
      <c r="H7" s="277"/>
      <c r="I7" s="277"/>
      <c r="J7" s="277" t="s">
        <v>252</v>
      </c>
      <c r="K7" s="277"/>
      <c r="L7" s="277"/>
      <c r="M7" s="277"/>
      <c r="N7" s="277" t="s">
        <v>253</v>
      </c>
      <c r="O7" s="279"/>
    </row>
    <row r="8" spans="2:15" ht="60.75" thickBot="1">
      <c r="B8" s="274"/>
      <c r="C8" s="276"/>
      <c r="D8" s="278"/>
      <c r="E8" s="278"/>
      <c r="F8" s="65" t="s">
        <v>254</v>
      </c>
      <c r="G8" s="65" t="s">
        <v>136</v>
      </c>
      <c r="H8" s="65" t="s">
        <v>255</v>
      </c>
      <c r="I8" s="65" t="s">
        <v>256</v>
      </c>
      <c r="J8" s="65" t="s">
        <v>257</v>
      </c>
      <c r="K8" s="65" t="s">
        <v>136</v>
      </c>
      <c r="L8" s="65" t="s">
        <v>258</v>
      </c>
      <c r="M8" s="65" t="s">
        <v>259</v>
      </c>
      <c r="N8" s="65" t="s">
        <v>254</v>
      </c>
      <c r="O8" s="66" t="s">
        <v>256</v>
      </c>
    </row>
    <row r="9" spans="2:15">
      <c r="B9" s="168">
        <v>1</v>
      </c>
      <c r="C9" s="199" t="s">
        <v>404</v>
      </c>
      <c r="D9" s="194">
        <v>1000</v>
      </c>
      <c r="E9" s="193">
        <v>0</v>
      </c>
      <c r="F9" s="229">
        <v>0</v>
      </c>
      <c r="G9" s="230">
        <v>0</v>
      </c>
      <c r="H9" s="230">
        <v>0</v>
      </c>
      <c r="I9" s="190">
        <f t="shared" ref="I9:I21" si="0">F9+G9+H9</f>
        <v>0</v>
      </c>
      <c r="J9" s="229">
        <v>0</v>
      </c>
      <c r="K9" s="229">
        <v>0</v>
      </c>
      <c r="L9" s="192">
        <v>0</v>
      </c>
      <c r="M9" s="190">
        <f t="shared" ref="M9:M21" si="1">J9+K9+L9</f>
        <v>0</v>
      </c>
      <c r="N9" s="192">
        <f t="shared" ref="N9:N21" si="2">+F9-J9</f>
        <v>0</v>
      </c>
      <c r="O9" s="192">
        <f t="shared" ref="O9:O21" si="3">+I9-M9</f>
        <v>0</v>
      </c>
    </row>
    <row r="10" spans="2:15">
      <c r="B10" s="168">
        <v>2</v>
      </c>
      <c r="C10" s="199" t="s">
        <v>411</v>
      </c>
      <c r="D10" s="194">
        <v>1010</v>
      </c>
      <c r="E10" s="193"/>
      <c r="F10" s="229"/>
      <c r="G10" s="229"/>
      <c r="H10" s="229"/>
      <c r="I10" s="190">
        <f t="shared" si="0"/>
        <v>0</v>
      </c>
      <c r="J10" s="229"/>
      <c r="K10" s="229"/>
      <c r="L10" s="189"/>
      <c r="M10" s="190">
        <f t="shared" si="1"/>
        <v>0</v>
      </c>
      <c r="N10" s="189">
        <f t="shared" si="2"/>
        <v>0</v>
      </c>
      <c r="O10" s="189">
        <f t="shared" si="3"/>
        <v>0</v>
      </c>
    </row>
    <row r="11" spans="2:15">
      <c r="B11" s="168">
        <v>3</v>
      </c>
      <c r="C11" s="199" t="s">
        <v>126</v>
      </c>
      <c r="D11" s="194">
        <v>1100</v>
      </c>
      <c r="E11" s="183">
        <v>3.3399999999999999E-2</v>
      </c>
      <c r="F11" s="229">
        <v>214.80770280500002</v>
      </c>
      <c r="G11" s="230">
        <v>0</v>
      </c>
      <c r="H11" s="230">
        <v>0</v>
      </c>
      <c r="I11" s="190">
        <f t="shared" si="0"/>
        <v>214.80770280500002</v>
      </c>
      <c r="J11" s="229">
        <v>32.770079787</v>
      </c>
      <c r="K11" s="229">
        <v>7.1745772730000006</v>
      </c>
      <c r="L11" s="190">
        <v>0</v>
      </c>
      <c r="M11" s="190">
        <f t="shared" si="1"/>
        <v>39.944657059999997</v>
      </c>
      <c r="N11" s="192">
        <f t="shared" si="2"/>
        <v>182.03762301800003</v>
      </c>
      <c r="O11" s="192">
        <f t="shared" si="3"/>
        <v>174.86304574500002</v>
      </c>
    </row>
    <row r="12" spans="2:15">
      <c r="B12" s="168">
        <f>+B11+1</f>
        <v>4</v>
      </c>
      <c r="C12" s="199" t="s">
        <v>405</v>
      </c>
      <c r="D12" s="194">
        <v>1200</v>
      </c>
      <c r="E12" s="183">
        <v>5.28E-2</v>
      </c>
      <c r="F12" s="231">
        <v>68.390140982000005</v>
      </c>
      <c r="G12" s="230">
        <v>0</v>
      </c>
      <c r="H12" s="230">
        <v>0</v>
      </c>
      <c r="I12" s="190">
        <f t="shared" si="0"/>
        <v>68.390140982000005</v>
      </c>
      <c r="J12" s="231">
        <v>28.383934282999999</v>
      </c>
      <c r="K12" s="229">
        <v>3.61</v>
      </c>
      <c r="L12" s="190">
        <v>0</v>
      </c>
      <c r="M12" s="190">
        <f t="shared" si="1"/>
        <v>31.993934282999998</v>
      </c>
      <c r="N12" s="192">
        <f t="shared" si="2"/>
        <v>40.006206699000003</v>
      </c>
      <c r="O12" s="192">
        <f t="shared" si="3"/>
        <v>36.396206699000004</v>
      </c>
    </row>
    <row r="13" spans="2:15">
      <c r="B13" s="168">
        <f t="shared" ref="B13:B21" si="4">+B12+1</f>
        <v>5</v>
      </c>
      <c r="C13" s="199" t="s">
        <v>125</v>
      </c>
      <c r="D13" s="194">
        <v>1300</v>
      </c>
      <c r="E13" s="183">
        <v>5.28E-2</v>
      </c>
      <c r="F13" s="231">
        <f>2967.111062957-212.88</f>
        <v>2754.2310629569997</v>
      </c>
      <c r="G13" s="230">
        <v>1.56</v>
      </c>
      <c r="H13" s="230"/>
      <c r="I13" s="190">
        <f t="shared" si="0"/>
        <v>2755.7910629569997</v>
      </c>
      <c r="J13" s="231">
        <f>1205.741653162-299.2</f>
        <v>906.54165316199988</v>
      </c>
      <c r="K13" s="229">
        <f>156.66-11</f>
        <v>145.66</v>
      </c>
      <c r="L13" s="190"/>
      <c r="M13" s="190">
        <f t="shared" si="1"/>
        <v>1052.201653162</v>
      </c>
      <c r="N13" s="192">
        <f t="shared" si="2"/>
        <v>1847.6894097949998</v>
      </c>
      <c r="O13" s="192">
        <f>+I13-M13+0.01</f>
        <v>1703.5994097949997</v>
      </c>
    </row>
    <row r="14" spans="2:15">
      <c r="B14" s="168">
        <f t="shared" si="4"/>
        <v>6</v>
      </c>
      <c r="C14" s="188" t="s">
        <v>406</v>
      </c>
      <c r="D14" s="194">
        <v>1400</v>
      </c>
      <c r="E14" s="183">
        <v>5.28E-2</v>
      </c>
      <c r="F14" s="229">
        <v>167.79792853499998</v>
      </c>
      <c r="G14" s="230">
        <v>4.900576139</v>
      </c>
      <c r="H14" s="230">
        <v>0</v>
      </c>
      <c r="I14" s="190">
        <f t="shared" si="0"/>
        <v>172.69850467399999</v>
      </c>
      <c r="J14" s="229">
        <v>62.744375345000002</v>
      </c>
      <c r="K14" s="229">
        <v>8.8597306260000011</v>
      </c>
      <c r="L14" s="190">
        <v>0</v>
      </c>
      <c r="M14" s="190">
        <f t="shared" si="1"/>
        <v>71.604105970999996</v>
      </c>
      <c r="N14" s="192">
        <f t="shared" si="2"/>
        <v>105.05355318999997</v>
      </c>
      <c r="O14" s="192">
        <f t="shared" si="3"/>
        <v>101.094398703</v>
      </c>
    </row>
    <row r="15" spans="2:15">
      <c r="B15" s="168">
        <f t="shared" si="4"/>
        <v>7</v>
      </c>
      <c r="C15" s="188" t="s">
        <v>128</v>
      </c>
      <c r="D15" s="194">
        <v>1500</v>
      </c>
      <c r="E15" s="183">
        <v>5.28E-2</v>
      </c>
      <c r="F15" s="229">
        <v>543.04019183800006</v>
      </c>
      <c r="G15" s="230">
        <v>0</v>
      </c>
      <c r="H15" s="230">
        <v>0</v>
      </c>
      <c r="I15" s="190">
        <f t="shared" si="0"/>
        <v>543.04019183800006</v>
      </c>
      <c r="J15" s="229">
        <v>243.64301787600002</v>
      </c>
      <c r="K15" s="229">
        <v>28.672522126999997</v>
      </c>
      <c r="L15" s="190">
        <v>0</v>
      </c>
      <c r="M15" s="190">
        <f t="shared" si="1"/>
        <v>272.31554000300002</v>
      </c>
      <c r="N15" s="192">
        <f t="shared" si="2"/>
        <v>299.39717396200001</v>
      </c>
      <c r="O15" s="192">
        <f t="shared" si="3"/>
        <v>270.72465183500003</v>
      </c>
    </row>
    <row r="16" spans="2:15">
      <c r="B16" s="168">
        <f t="shared" si="4"/>
        <v>8</v>
      </c>
      <c r="C16" s="188" t="s">
        <v>407</v>
      </c>
      <c r="D16" s="194">
        <v>1600</v>
      </c>
      <c r="E16" s="183">
        <v>3.3399999999999999E-2</v>
      </c>
      <c r="F16" s="229">
        <v>12.550072935999999</v>
      </c>
      <c r="G16" s="230">
        <v>1.6963839710000002</v>
      </c>
      <c r="H16" s="230">
        <v>0</v>
      </c>
      <c r="I16" s="190">
        <f t="shared" si="0"/>
        <v>14.246456906999999</v>
      </c>
      <c r="J16" s="229">
        <v>2.2972483029999999</v>
      </c>
      <c r="K16" s="229">
        <v>0.41917243700000001</v>
      </c>
      <c r="L16" s="190">
        <v>0</v>
      </c>
      <c r="M16" s="190">
        <f t="shared" si="1"/>
        <v>2.7164207399999998</v>
      </c>
      <c r="N16" s="192">
        <f t="shared" si="2"/>
        <v>10.252824632999999</v>
      </c>
      <c r="O16" s="192">
        <f t="shared" si="3"/>
        <v>11.530036166999999</v>
      </c>
    </row>
    <row r="17" spans="2:16">
      <c r="B17" s="168">
        <f t="shared" si="4"/>
        <v>9</v>
      </c>
      <c r="C17" s="188" t="s">
        <v>130</v>
      </c>
      <c r="D17" s="194">
        <v>1700</v>
      </c>
      <c r="E17" s="197">
        <v>9.5000000000000001E-2</v>
      </c>
      <c r="F17" s="229">
        <v>0</v>
      </c>
      <c r="G17" s="230">
        <v>0</v>
      </c>
      <c r="H17" s="230">
        <v>0</v>
      </c>
      <c r="I17" s="190">
        <f t="shared" si="0"/>
        <v>0</v>
      </c>
      <c r="J17" s="229">
        <v>0</v>
      </c>
      <c r="K17" s="229">
        <v>0</v>
      </c>
      <c r="L17" s="190">
        <v>0</v>
      </c>
      <c r="M17" s="190">
        <f t="shared" si="1"/>
        <v>0</v>
      </c>
      <c r="N17" s="192">
        <f t="shared" si="2"/>
        <v>0</v>
      </c>
      <c r="O17" s="192">
        <f t="shared" si="3"/>
        <v>0</v>
      </c>
    </row>
    <row r="18" spans="2:16">
      <c r="B18" s="168">
        <f t="shared" si="4"/>
        <v>10</v>
      </c>
      <c r="C18" s="188" t="s">
        <v>408</v>
      </c>
      <c r="D18" s="194">
        <v>1800</v>
      </c>
      <c r="E18" s="183">
        <v>6.3299999999999995E-2</v>
      </c>
      <c r="F18" s="229">
        <v>0.200947346</v>
      </c>
      <c r="G18" s="230">
        <v>3.2089156000000001E-2</v>
      </c>
      <c r="H18" s="230">
        <v>0</v>
      </c>
      <c r="I18" s="190">
        <f t="shared" si="0"/>
        <v>0.23303650200000001</v>
      </c>
      <c r="J18" s="229">
        <v>0.129131309</v>
      </c>
      <c r="K18" s="229">
        <v>8.800332000000001E-3</v>
      </c>
      <c r="L18" s="190">
        <v>0</v>
      </c>
      <c r="M18" s="190">
        <f t="shared" si="1"/>
        <v>0.13793164099999999</v>
      </c>
      <c r="N18" s="192">
        <f t="shared" si="2"/>
        <v>7.1816036999999999E-2</v>
      </c>
      <c r="O18" s="192">
        <f t="shared" si="3"/>
        <v>9.5104861000000013E-2</v>
      </c>
    </row>
    <row r="19" spans="2:16">
      <c r="B19" s="168">
        <f t="shared" si="4"/>
        <v>11</v>
      </c>
      <c r="C19" s="188" t="s">
        <v>409</v>
      </c>
      <c r="D19" s="194">
        <v>1900</v>
      </c>
      <c r="E19" s="196">
        <v>0.15</v>
      </c>
      <c r="F19" s="229">
        <v>0.2</v>
      </c>
      <c r="G19" s="230">
        <v>0</v>
      </c>
      <c r="H19" s="230">
        <v>0</v>
      </c>
      <c r="I19" s="190">
        <f t="shared" si="0"/>
        <v>0.2</v>
      </c>
      <c r="J19" s="229">
        <v>0.175098424</v>
      </c>
      <c r="K19" s="229">
        <v>7.515E-4</v>
      </c>
      <c r="L19" s="190">
        <v>0</v>
      </c>
      <c r="M19" s="190">
        <f t="shared" si="1"/>
        <v>0.17584992399999999</v>
      </c>
      <c r="N19" s="192">
        <f t="shared" si="2"/>
        <v>2.4901576000000009E-2</v>
      </c>
      <c r="O19" s="192">
        <f t="shared" si="3"/>
        <v>2.415007600000002E-2</v>
      </c>
    </row>
    <row r="20" spans="2:16">
      <c r="B20" s="168">
        <f t="shared" si="4"/>
        <v>12</v>
      </c>
      <c r="C20" s="199" t="s">
        <v>132</v>
      </c>
      <c r="D20" s="193">
        <v>2100</v>
      </c>
      <c r="E20" s="191">
        <v>6.3299999999999995E-2</v>
      </c>
      <c r="F20" s="229">
        <v>0.05</v>
      </c>
      <c r="G20" s="230">
        <v>0</v>
      </c>
      <c r="H20" s="230">
        <v>0</v>
      </c>
      <c r="I20" s="190">
        <f t="shared" si="0"/>
        <v>0.05</v>
      </c>
      <c r="J20" s="229">
        <v>1.8231398999999999E-2</v>
      </c>
      <c r="K20" s="229">
        <v>4.8033660000000008E-3</v>
      </c>
      <c r="L20" s="190">
        <v>0</v>
      </c>
      <c r="M20" s="190">
        <f t="shared" si="1"/>
        <v>2.3034764999999999E-2</v>
      </c>
      <c r="N20" s="192">
        <f t="shared" si="2"/>
        <v>3.1768601000000007E-2</v>
      </c>
      <c r="O20" s="192">
        <f t="shared" si="3"/>
        <v>2.6965235000000004E-2</v>
      </c>
    </row>
    <row r="21" spans="2:16">
      <c r="B21" s="168">
        <f t="shared" si="4"/>
        <v>13</v>
      </c>
      <c r="C21" s="199" t="s">
        <v>410</v>
      </c>
      <c r="D21" s="193">
        <v>2200</v>
      </c>
      <c r="E21" s="191">
        <v>0.15</v>
      </c>
      <c r="F21" s="229">
        <v>0</v>
      </c>
      <c r="G21" s="230">
        <v>0</v>
      </c>
      <c r="H21" s="230">
        <v>0</v>
      </c>
      <c r="I21" s="190">
        <f t="shared" si="0"/>
        <v>0</v>
      </c>
      <c r="J21" s="229">
        <v>0</v>
      </c>
      <c r="K21" s="229">
        <v>0</v>
      </c>
      <c r="L21" s="189"/>
      <c r="M21" s="190">
        <f t="shared" si="1"/>
        <v>0</v>
      </c>
      <c r="N21" s="189">
        <f t="shared" si="2"/>
        <v>0</v>
      </c>
      <c r="O21" s="189">
        <f t="shared" si="3"/>
        <v>0</v>
      </c>
    </row>
    <row r="22" spans="2:16" s="50" customFormat="1" ht="15.75" thickBot="1">
      <c r="B22" s="233"/>
      <c r="C22" s="234" t="s">
        <v>137</v>
      </c>
      <c r="D22" s="234"/>
      <c r="E22" s="235">
        <f>IFERROR((K22-L22)/AVERAGE(F22,I22),0)</f>
        <v>5.1631116770884097E-2</v>
      </c>
      <c r="F22" s="198">
        <v>3761.27</v>
      </c>
      <c r="G22" s="198">
        <v>8.19</v>
      </c>
      <c r="H22" s="198">
        <v>0</v>
      </c>
      <c r="I22" s="198">
        <v>3769.46</v>
      </c>
      <c r="J22" s="184">
        <v>1276.7</v>
      </c>
      <c r="K22" s="198">
        <v>194.41</v>
      </c>
      <c r="L22" s="195">
        <v>0</v>
      </c>
      <c r="M22" s="184">
        <v>1471.1100000000001</v>
      </c>
      <c r="N22" s="198">
        <v>2484.5699999999997</v>
      </c>
      <c r="O22" s="198">
        <v>2298.35</v>
      </c>
      <c r="P22" s="232"/>
    </row>
    <row r="23" spans="2:16">
      <c r="F23" s="167"/>
      <c r="G23" s="167"/>
      <c r="H23" s="167"/>
      <c r="I23" s="167"/>
      <c r="J23" s="167"/>
      <c r="K23" s="167"/>
      <c r="L23" s="167"/>
      <c r="M23" s="167"/>
      <c r="N23" s="167"/>
      <c r="O23" s="167"/>
      <c r="P23" s="167"/>
    </row>
  </sheetData>
  <mergeCells count="8">
    <mergeCell ref="B6:O6"/>
    <mergeCell ref="B7:B8"/>
    <mergeCell ref="C7:C8"/>
    <mergeCell ref="D7:D8"/>
    <mergeCell ref="E7:E8"/>
    <mergeCell ref="F7:I7"/>
    <mergeCell ref="J7:M7"/>
    <mergeCell ref="N7:O7"/>
  </mergeCells>
  <pageMargins left="0.27" right="0.25" top="0.75" bottom="0.25" header="0" footer="0"/>
  <pageSetup paperSize="9" scale="76" fitToHeight="0" orientation="landscape"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B1:F62"/>
  <sheetViews>
    <sheetView view="pageBreakPreview" topLeftCell="A28" zoomScale="90" zoomScaleNormal="98" zoomScaleSheetLayoutView="90" workbookViewId="0">
      <selection activeCell="D62" sqref="D62:F62"/>
    </sheetView>
  </sheetViews>
  <sheetFormatPr defaultColWidth="9.28515625" defaultRowHeight="14.25"/>
  <cols>
    <col min="1" max="1" width="2.7109375" style="5" customWidth="1"/>
    <col min="2" max="2" width="6.28515625" style="5" customWidth="1"/>
    <col min="3" max="3" width="56.7109375" style="5" customWidth="1"/>
    <col min="4" max="4" width="13.7109375" style="5" bestFit="1" customWidth="1"/>
    <col min="5" max="5" width="12.5703125" style="5" bestFit="1" customWidth="1"/>
    <col min="6" max="6" width="13.42578125" style="5" bestFit="1" customWidth="1"/>
    <col min="7" max="9" width="11.7109375" style="5" bestFit="1" customWidth="1"/>
    <col min="10" max="16384" width="9.28515625" style="5"/>
  </cols>
  <sheetData>
    <row r="1" spans="2:6" ht="15">
      <c r="B1" s="25"/>
    </row>
    <row r="2" spans="2:6" ht="14.25" customHeight="1">
      <c r="B2" s="249" t="s">
        <v>397</v>
      </c>
      <c r="C2" s="249"/>
      <c r="D2" s="249"/>
      <c r="E2" s="249"/>
      <c r="F2" s="249"/>
    </row>
    <row r="3" spans="2:6" ht="14.25" customHeight="1">
      <c r="B3" s="249" t="s">
        <v>468</v>
      </c>
      <c r="C3" s="249"/>
      <c r="D3" s="249"/>
      <c r="E3" s="249"/>
      <c r="F3" s="249"/>
    </row>
    <row r="4" spans="2:6" ht="14.25" customHeight="1">
      <c r="B4" s="249" t="s">
        <v>270</v>
      </c>
      <c r="C4" s="249"/>
      <c r="D4" s="249"/>
      <c r="E4" s="249"/>
      <c r="F4" s="249"/>
    </row>
    <row r="5" spans="2:6" ht="15">
      <c r="B5" s="34" t="s">
        <v>55</v>
      </c>
      <c r="C5" s="25" t="s">
        <v>271</v>
      </c>
      <c r="D5" s="26"/>
      <c r="E5" s="26"/>
      <c r="F5" s="26"/>
    </row>
    <row r="6" spans="2:6">
      <c r="F6" s="244" t="s">
        <v>481</v>
      </c>
    </row>
    <row r="7" spans="2:6" s="15" customFormat="1" ht="15" customHeight="1">
      <c r="B7" s="253" t="s">
        <v>189</v>
      </c>
      <c r="C7" s="256" t="s">
        <v>16</v>
      </c>
      <c r="D7" s="260" t="s">
        <v>398</v>
      </c>
      <c r="E7" s="261"/>
      <c r="F7" s="262"/>
    </row>
    <row r="8" spans="2:6" s="15" customFormat="1" ht="45">
      <c r="B8" s="254"/>
      <c r="C8" s="256"/>
      <c r="D8" s="17" t="s">
        <v>366</v>
      </c>
      <c r="E8" s="17" t="s">
        <v>233</v>
      </c>
      <c r="F8" s="17" t="s">
        <v>204</v>
      </c>
    </row>
    <row r="9" spans="2:6" s="15" customFormat="1" ht="15">
      <c r="B9" s="255"/>
      <c r="C9" s="257"/>
      <c r="D9" s="17" t="s">
        <v>8</v>
      </c>
      <c r="E9" s="17" t="s">
        <v>10</v>
      </c>
      <c r="F9" s="17" t="s">
        <v>226</v>
      </c>
    </row>
    <row r="10" spans="2:6">
      <c r="B10" s="62">
        <v>1</v>
      </c>
      <c r="C10" s="27" t="s">
        <v>172</v>
      </c>
      <c r="D10" s="2"/>
      <c r="E10" s="138">
        <f>'F4'!F22*0.7</f>
        <v>2632.8889999999997</v>
      </c>
      <c r="F10" s="138">
        <f>E10</f>
        <v>2632.8889999999997</v>
      </c>
    </row>
    <row r="11" spans="2:6">
      <c r="B11" s="22">
        <f>B10+1</f>
        <v>2</v>
      </c>
      <c r="C11" s="27" t="s">
        <v>173</v>
      </c>
      <c r="D11" s="2"/>
      <c r="E11" s="138">
        <f>'F4'!J22</f>
        <v>1276.7</v>
      </c>
      <c r="F11" s="138">
        <f>E11</f>
        <v>1276.7</v>
      </c>
    </row>
    <row r="12" spans="2:6" ht="15">
      <c r="B12" s="22">
        <f t="shared" ref="B12:B22" si="0">B11+1</f>
        <v>3</v>
      </c>
      <c r="C12" s="29" t="s">
        <v>174</v>
      </c>
      <c r="D12" s="133"/>
      <c r="E12" s="133">
        <f>IF((E10-E11)&lt;0,0,(E10-E11))</f>
        <v>1356.1889999999996</v>
      </c>
      <c r="F12" s="133">
        <f>IF((F10-F11)&lt;0,0,(F10-F11))</f>
        <v>1356.1889999999996</v>
      </c>
    </row>
    <row r="13" spans="2:6" ht="28.5">
      <c r="B13" s="22">
        <f t="shared" si="0"/>
        <v>4</v>
      </c>
      <c r="C13" s="69" t="s">
        <v>175</v>
      </c>
      <c r="D13" s="137"/>
      <c r="E13" s="137"/>
      <c r="F13" s="137"/>
    </row>
    <row r="14" spans="2:6" s="33" customFormat="1" ht="28.5">
      <c r="B14" s="22">
        <f t="shared" si="0"/>
        <v>5</v>
      </c>
      <c r="C14" s="38" t="s">
        <v>394</v>
      </c>
      <c r="D14" s="137"/>
      <c r="E14" s="144">
        <f>'F3'!E12*0.7</f>
        <v>5.7341209099999997</v>
      </c>
      <c r="F14" s="144">
        <f>E14</f>
        <v>5.7341209099999997</v>
      </c>
    </row>
    <row r="15" spans="2:6">
      <c r="B15" s="22">
        <f t="shared" si="0"/>
        <v>6</v>
      </c>
      <c r="C15" s="69" t="s">
        <v>180</v>
      </c>
      <c r="D15" s="153"/>
      <c r="E15" s="153">
        <f>'F1'!G12</f>
        <v>194.41</v>
      </c>
      <c r="F15" s="153">
        <f>'F1'!H12</f>
        <v>194.41</v>
      </c>
    </row>
    <row r="16" spans="2:6" ht="15">
      <c r="B16" s="22">
        <f t="shared" si="0"/>
        <v>7</v>
      </c>
      <c r="C16" s="27" t="s">
        <v>176</v>
      </c>
      <c r="D16" s="133"/>
      <c r="E16" s="133">
        <f>IF((E12-E13+E14-E15)&lt;0,0,(E12-E13+E14-E15))</f>
        <v>1167.5131209099995</v>
      </c>
      <c r="F16" s="133">
        <f>IF((F12-F13+F14-F15)&lt;0,0,(F12-F13+F14-F15))</f>
        <v>1167.5131209099995</v>
      </c>
    </row>
    <row r="17" spans="2:6" ht="15">
      <c r="B17" s="22">
        <f t="shared" si="0"/>
        <v>8</v>
      </c>
      <c r="C17" s="27" t="s">
        <v>177</v>
      </c>
      <c r="D17" s="133"/>
      <c r="E17" s="133">
        <f t="shared" ref="E17:F17" si="1">E10-E13+E14-E15</f>
        <v>2444.2131209099998</v>
      </c>
      <c r="F17" s="133">
        <f t="shared" si="1"/>
        <v>2444.2131209099998</v>
      </c>
    </row>
    <row r="18" spans="2:6" ht="15">
      <c r="B18" s="22">
        <f t="shared" si="0"/>
        <v>9</v>
      </c>
      <c r="C18" s="27" t="s">
        <v>210</v>
      </c>
      <c r="D18" s="133"/>
      <c r="E18" s="133">
        <f t="shared" ref="E18:F18" si="2">AVERAGE(E12,E16)</f>
        <v>1261.8510604549997</v>
      </c>
      <c r="F18" s="133">
        <f t="shared" si="2"/>
        <v>1261.8510604549997</v>
      </c>
    </row>
    <row r="19" spans="2:6">
      <c r="B19" s="22">
        <f t="shared" si="0"/>
        <v>10</v>
      </c>
      <c r="C19" s="69" t="s">
        <v>209</v>
      </c>
      <c r="D19" s="135"/>
      <c r="E19" s="135">
        <v>0.1026</v>
      </c>
      <c r="F19" s="135">
        <f>E19</f>
        <v>0.1026</v>
      </c>
    </row>
    <row r="20" spans="2:6" ht="15">
      <c r="B20" s="22">
        <f t="shared" si="0"/>
        <v>11</v>
      </c>
      <c r="C20" s="27" t="s">
        <v>272</v>
      </c>
      <c r="D20" s="133"/>
      <c r="E20" s="133">
        <f>E18*E19</f>
        <v>129.46591880268298</v>
      </c>
      <c r="F20" s="133">
        <f>F18*F19</f>
        <v>129.46591880268298</v>
      </c>
    </row>
    <row r="21" spans="2:6">
      <c r="B21" s="22">
        <f t="shared" si="0"/>
        <v>12</v>
      </c>
      <c r="C21" s="27" t="s">
        <v>275</v>
      </c>
      <c r="D21" s="70"/>
      <c r="E21" s="70"/>
      <c r="F21" s="70"/>
    </row>
    <row r="22" spans="2:6" ht="15">
      <c r="B22" s="22">
        <f t="shared" si="0"/>
        <v>13</v>
      </c>
      <c r="C22" s="27" t="s">
        <v>276</v>
      </c>
      <c r="D22" s="133">
        <v>120.73</v>
      </c>
      <c r="E22" s="133">
        <f>ROUND(IF((E20+E21)&lt;0,0,(E20+E21)),2)</f>
        <v>129.47</v>
      </c>
      <c r="F22" s="133">
        <f>ROUND(IF((F20+F21)&lt;0,0,(F20+F21)),2)</f>
        <v>129.47</v>
      </c>
    </row>
    <row r="23" spans="2:6">
      <c r="B23" s="35"/>
    </row>
    <row r="24" spans="2:6">
      <c r="B24" s="35"/>
      <c r="C24" s="5" t="s">
        <v>235</v>
      </c>
    </row>
    <row r="25" spans="2:6">
      <c r="C25" s="5" t="s">
        <v>395</v>
      </c>
    </row>
    <row r="27" spans="2:6" ht="15">
      <c r="B27" s="34" t="s">
        <v>60</v>
      </c>
      <c r="C27" s="25" t="s">
        <v>273</v>
      </c>
    </row>
    <row r="28" spans="2:6">
      <c r="F28" s="244" t="s">
        <v>481</v>
      </c>
    </row>
    <row r="29" spans="2:6" ht="15" customHeight="1">
      <c r="B29" s="253" t="s">
        <v>189</v>
      </c>
      <c r="C29" s="256" t="s">
        <v>16</v>
      </c>
      <c r="D29" s="260" t="s">
        <v>398</v>
      </c>
      <c r="E29" s="261"/>
      <c r="F29" s="262"/>
    </row>
    <row r="30" spans="2:6" ht="15">
      <c r="B30" s="254"/>
      <c r="C30" s="256"/>
      <c r="D30" s="260" t="s">
        <v>233</v>
      </c>
      <c r="E30" s="261"/>
      <c r="F30" s="262"/>
    </row>
    <row r="31" spans="2:6" ht="15">
      <c r="B31" s="255"/>
      <c r="C31" s="257"/>
      <c r="D31" s="260" t="s">
        <v>10</v>
      </c>
      <c r="E31" s="261"/>
      <c r="F31" s="262"/>
    </row>
    <row r="32" spans="2:6" ht="15">
      <c r="B32" s="22">
        <v>1</v>
      </c>
      <c r="C32" s="225" t="s">
        <v>475</v>
      </c>
      <c r="D32" s="289"/>
      <c r="E32" s="290"/>
      <c r="F32" s="291"/>
    </row>
    <row r="33" spans="2:6">
      <c r="B33" s="27"/>
      <c r="C33" s="27" t="s">
        <v>11</v>
      </c>
      <c r="D33" s="289">
        <v>1289.27</v>
      </c>
      <c r="E33" s="290"/>
      <c r="F33" s="291"/>
    </row>
    <row r="34" spans="2:6">
      <c r="B34" s="27"/>
      <c r="C34" s="27" t="s">
        <v>164</v>
      </c>
      <c r="D34" s="289">
        <v>0</v>
      </c>
      <c r="E34" s="290"/>
      <c r="F34" s="291"/>
    </row>
    <row r="35" spans="2:6">
      <c r="B35" s="27"/>
      <c r="C35" s="27" t="s">
        <v>12</v>
      </c>
      <c r="D35" s="289">
        <v>253.63</v>
      </c>
      <c r="E35" s="290"/>
      <c r="F35" s="291"/>
    </row>
    <row r="36" spans="2:6" ht="15">
      <c r="B36" s="27"/>
      <c r="C36" s="27" t="s">
        <v>13</v>
      </c>
      <c r="D36" s="280">
        <f>D33+D34-D35</f>
        <v>1035.6399999999999</v>
      </c>
      <c r="E36" s="281"/>
      <c r="F36" s="282"/>
    </row>
    <row r="37" spans="2:6" ht="15" customHeight="1">
      <c r="B37" s="27"/>
      <c r="C37" s="27" t="s">
        <v>211</v>
      </c>
      <c r="D37" s="286">
        <v>1175.5999999999999</v>
      </c>
      <c r="E37" s="287"/>
      <c r="F37" s="288"/>
    </row>
    <row r="38" spans="2:6">
      <c r="B38" s="27"/>
      <c r="C38" s="27" t="s">
        <v>14</v>
      </c>
      <c r="D38" s="289">
        <v>10.27</v>
      </c>
      <c r="E38" s="290"/>
      <c r="F38" s="291"/>
    </row>
    <row r="39" spans="2:6" ht="15" customHeight="1">
      <c r="B39" s="27"/>
      <c r="C39" s="27" t="s">
        <v>272</v>
      </c>
      <c r="D39" s="289">
        <v>120.75</v>
      </c>
      <c r="E39" s="290"/>
      <c r="F39" s="291"/>
    </row>
    <row r="40" spans="2:6">
      <c r="B40" s="27"/>
      <c r="C40" s="27" t="s">
        <v>275</v>
      </c>
      <c r="D40" s="289">
        <v>0</v>
      </c>
      <c r="E40" s="290"/>
      <c r="F40" s="291"/>
    </row>
    <row r="41" spans="2:6" ht="15">
      <c r="B41" s="27"/>
      <c r="C41" s="27" t="s">
        <v>276</v>
      </c>
      <c r="D41" s="280">
        <f>D39+D40</f>
        <v>120.75</v>
      </c>
      <c r="E41" s="281"/>
      <c r="F41" s="282"/>
    </row>
    <row r="42" spans="2:6" ht="15">
      <c r="B42" s="22">
        <v>2</v>
      </c>
      <c r="C42" s="209" t="s">
        <v>476</v>
      </c>
      <c r="D42" s="286"/>
      <c r="E42" s="287"/>
      <c r="F42" s="288"/>
    </row>
    <row r="43" spans="2:6">
      <c r="B43" s="27"/>
      <c r="C43" s="27" t="s">
        <v>11</v>
      </c>
      <c r="D43" s="289">
        <v>33.46</v>
      </c>
      <c r="E43" s="290"/>
      <c r="F43" s="291"/>
    </row>
    <row r="44" spans="2:6">
      <c r="B44" s="27"/>
      <c r="C44" s="27" t="s">
        <v>164</v>
      </c>
      <c r="D44" s="289">
        <v>0</v>
      </c>
      <c r="E44" s="290"/>
      <c r="F44" s="291"/>
    </row>
    <row r="45" spans="2:6">
      <c r="B45" s="27"/>
      <c r="C45" s="27" t="s">
        <v>12</v>
      </c>
      <c r="D45" s="289">
        <v>33.46</v>
      </c>
      <c r="E45" s="290"/>
      <c r="F45" s="291"/>
    </row>
    <row r="46" spans="2:6" ht="15">
      <c r="B46" s="27"/>
      <c r="C46" s="27" t="s">
        <v>13</v>
      </c>
      <c r="D46" s="280">
        <f>D43+D44-D45</f>
        <v>0</v>
      </c>
      <c r="E46" s="281"/>
      <c r="F46" s="282"/>
    </row>
    <row r="47" spans="2:6" ht="15">
      <c r="B47" s="27"/>
      <c r="C47" s="27" t="s">
        <v>211</v>
      </c>
      <c r="D47" s="280">
        <v>13.54</v>
      </c>
      <c r="E47" s="281"/>
      <c r="F47" s="282"/>
    </row>
    <row r="48" spans="2:6">
      <c r="B48" s="27"/>
      <c r="C48" s="27" t="s">
        <v>14</v>
      </c>
      <c r="D48" s="286">
        <v>9.82</v>
      </c>
      <c r="E48" s="287"/>
      <c r="F48" s="288"/>
    </row>
    <row r="49" spans="2:6" ht="15">
      <c r="B49" s="27"/>
      <c r="C49" s="27" t="s">
        <v>272</v>
      </c>
      <c r="D49" s="280">
        <v>1.33</v>
      </c>
      <c r="E49" s="281"/>
      <c r="F49" s="282"/>
    </row>
    <row r="50" spans="2:6">
      <c r="B50" s="27"/>
      <c r="C50" s="27" t="s">
        <v>275</v>
      </c>
      <c r="D50" s="289">
        <v>0</v>
      </c>
      <c r="E50" s="290"/>
      <c r="F50" s="291"/>
    </row>
    <row r="51" spans="2:6" ht="15">
      <c r="B51" s="27"/>
      <c r="C51" s="27" t="s">
        <v>276</v>
      </c>
      <c r="D51" s="280">
        <f>D49+D50</f>
        <v>1.33</v>
      </c>
      <c r="E51" s="281"/>
      <c r="F51" s="282"/>
    </row>
    <row r="52" spans="2:6">
      <c r="B52" s="27"/>
      <c r="C52" s="27" t="s">
        <v>274</v>
      </c>
      <c r="D52" s="286"/>
      <c r="E52" s="287"/>
      <c r="F52" s="288"/>
    </row>
    <row r="53" spans="2:6" ht="15">
      <c r="B53" s="22"/>
      <c r="C53" s="40" t="s">
        <v>137</v>
      </c>
      <c r="D53" s="286"/>
      <c r="E53" s="287"/>
      <c r="F53" s="288"/>
    </row>
    <row r="54" spans="2:6" ht="15">
      <c r="B54" s="27"/>
      <c r="C54" s="27" t="s">
        <v>11</v>
      </c>
      <c r="D54" s="280">
        <f>D33+D43</f>
        <v>1322.73</v>
      </c>
      <c r="E54" s="281"/>
      <c r="F54" s="282"/>
    </row>
    <row r="55" spans="2:6" ht="15">
      <c r="B55" s="27"/>
      <c r="C55" s="27" t="s">
        <v>164</v>
      </c>
      <c r="D55" s="280">
        <f>D34+D44</f>
        <v>0</v>
      </c>
      <c r="E55" s="281"/>
      <c r="F55" s="282"/>
    </row>
    <row r="56" spans="2:6" ht="15">
      <c r="B56" s="27"/>
      <c r="C56" s="27" t="s">
        <v>12</v>
      </c>
      <c r="D56" s="280">
        <f>D35+D45</f>
        <v>287.08999999999997</v>
      </c>
      <c r="E56" s="281"/>
      <c r="F56" s="282"/>
    </row>
    <row r="57" spans="2:6" ht="15">
      <c r="B57" s="27"/>
      <c r="C57" s="27" t="s">
        <v>13</v>
      </c>
      <c r="D57" s="280">
        <f>D54+D55-D56</f>
        <v>1035.6400000000001</v>
      </c>
      <c r="E57" s="281"/>
      <c r="F57" s="282"/>
    </row>
    <row r="58" spans="2:6" ht="15">
      <c r="B58" s="27"/>
      <c r="C58" s="27" t="s">
        <v>211</v>
      </c>
      <c r="D58" s="283">
        <v>1189.25</v>
      </c>
      <c r="E58" s="284"/>
      <c r="F58" s="285"/>
    </row>
    <row r="59" spans="2:6" ht="15">
      <c r="B59" s="27"/>
      <c r="C59" s="27" t="s">
        <v>14</v>
      </c>
      <c r="D59" s="283">
        <v>10.26</v>
      </c>
      <c r="E59" s="284"/>
      <c r="F59" s="285"/>
    </row>
    <row r="60" spans="2:6" ht="15">
      <c r="B60" s="27"/>
      <c r="C60" s="27" t="s">
        <v>272</v>
      </c>
      <c r="D60" s="283">
        <v>122.08</v>
      </c>
      <c r="E60" s="284"/>
      <c r="F60" s="285"/>
    </row>
    <row r="61" spans="2:6" ht="15">
      <c r="B61" s="27"/>
      <c r="C61" s="27" t="s">
        <v>275</v>
      </c>
      <c r="D61" s="283">
        <v>0</v>
      </c>
      <c r="E61" s="284"/>
      <c r="F61" s="285"/>
    </row>
    <row r="62" spans="2:6" ht="15">
      <c r="B62" s="27"/>
      <c r="C62" s="27" t="s">
        <v>276</v>
      </c>
      <c r="D62" s="280">
        <f>D60+D61</f>
        <v>122.08</v>
      </c>
      <c r="E62" s="281"/>
      <c r="F62" s="282"/>
    </row>
  </sheetData>
  <mergeCells count="42">
    <mergeCell ref="B2:F2"/>
    <mergeCell ref="B3:F3"/>
    <mergeCell ref="B4:F4"/>
    <mergeCell ref="B29:B31"/>
    <mergeCell ref="C29:C31"/>
    <mergeCell ref="B7:B9"/>
    <mergeCell ref="C7:C9"/>
    <mergeCell ref="D7:F7"/>
    <mergeCell ref="D29:F29"/>
    <mergeCell ref="D30:F30"/>
    <mergeCell ref="D31:F31"/>
    <mergeCell ref="D32:F32"/>
    <mergeCell ref="D33:F33"/>
    <mergeCell ref="D34:F34"/>
    <mergeCell ref="D35:F35"/>
    <mergeCell ref="D36:F36"/>
    <mergeCell ref="D37:F37"/>
    <mergeCell ref="D38:F38"/>
    <mergeCell ref="D39:F39"/>
    <mergeCell ref="D40:F40"/>
    <mergeCell ref="D41:F41"/>
    <mergeCell ref="D42:F42"/>
    <mergeCell ref="D43:F43"/>
    <mergeCell ref="D44:F44"/>
    <mergeCell ref="D45:F45"/>
    <mergeCell ref="D46:F46"/>
    <mergeCell ref="D47:F47"/>
    <mergeCell ref="D48:F48"/>
    <mergeCell ref="D49:F49"/>
    <mergeCell ref="D50:F50"/>
    <mergeCell ref="D51:F51"/>
    <mergeCell ref="D52:F52"/>
    <mergeCell ref="D53:F53"/>
    <mergeCell ref="D54:F54"/>
    <mergeCell ref="D55:F55"/>
    <mergeCell ref="D56:F56"/>
    <mergeCell ref="D62:F62"/>
    <mergeCell ref="D57:F57"/>
    <mergeCell ref="D58:F58"/>
    <mergeCell ref="D59:F59"/>
    <mergeCell ref="D60:F60"/>
    <mergeCell ref="D61:F61"/>
  </mergeCells>
  <pageMargins left="0.77" right="0.25" top="0.5" bottom="0.5" header="0.25" footer="0.25"/>
  <pageSetup paperSize="9" fitToHeight="0" orientation="landscape" r:id="rId1"/>
  <headerFooter alignWithMargins="0"/>
  <rowBreaks count="1" manualBreakCount="1">
    <brk id="26" max="16383" man="1"/>
  </rowBreaks>
</worksheet>
</file>

<file path=xl/worksheets/sheet12.xml><?xml version="1.0" encoding="utf-8"?>
<worksheet xmlns="http://schemas.openxmlformats.org/spreadsheetml/2006/main" xmlns:r="http://schemas.openxmlformats.org/officeDocument/2006/relationships">
  <dimension ref="B1:F22"/>
  <sheetViews>
    <sheetView showGridLines="0" view="pageBreakPreview" zoomScaleNormal="95" zoomScaleSheetLayoutView="100" workbookViewId="0">
      <selection activeCell="E33" sqref="E33"/>
    </sheetView>
  </sheetViews>
  <sheetFormatPr defaultColWidth="9.28515625" defaultRowHeight="14.25"/>
  <cols>
    <col min="1" max="1" width="4.28515625" style="5" customWidth="1"/>
    <col min="2" max="2" width="6.28515625" style="5" customWidth="1"/>
    <col min="3" max="3" width="35.5703125" style="5" customWidth="1"/>
    <col min="4" max="4" width="13.7109375" style="5" bestFit="1" customWidth="1"/>
    <col min="5" max="5" width="12.5703125" style="5" bestFit="1" customWidth="1"/>
    <col min="6" max="6" width="13.42578125" style="5" bestFit="1" customWidth="1"/>
    <col min="7" max="9" width="11.7109375" style="5" bestFit="1" customWidth="1"/>
    <col min="10" max="16384" width="9.28515625" style="5"/>
  </cols>
  <sheetData>
    <row r="1" spans="2:6" ht="15">
      <c r="B1" s="25"/>
    </row>
    <row r="2" spans="2:6" ht="14.25" customHeight="1">
      <c r="B2" s="249" t="s">
        <v>397</v>
      </c>
      <c r="C2" s="249"/>
      <c r="D2" s="249"/>
      <c r="E2" s="249"/>
      <c r="F2" s="249"/>
    </row>
    <row r="3" spans="2:6" ht="14.25" customHeight="1">
      <c r="B3" s="249" t="s">
        <v>468</v>
      </c>
      <c r="C3" s="249"/>
      <c r="D3" s="249"/>
      <c r="E3" s="249"/>
      <c r="F3" s="249"/>
    </row>
    <row r="4" spans="2:6" ht="14.25" customHeight="1">
      <c r="B4" s="249" t="s">
        <v>277</v>
      </c>
      <c r="C4" s="249"/>
      <c r="D4" s="249"/>
      <c r="E4" s="249"/>
      <c r="F4" s="249"/>
    </row>
    <row r="5" spans="2:6">
      <c r="F5" s="242" t="s">
        <v>482</v>
      </c>
    </row>
    <row r="6" spans="2:6" s="15" customFormat="1" ht="15" customHeight="1">
      <c r="B6" s="253" t="s">
        <v>189</v>
      </c>
      <c r="C6" s="256" t="s">
        <v>16</v>
      </c>
      <c r="D6" s="260" t="s">
        <v>398</v>
      </c>
      <c r="E6" s="261"/>
      <c r="F6" s="262"/>
    </row>
    <row r="7" spans="2:6" s="15" customFormat="1" ht="45">
      <c r="B7" s="254"/>
      <c r="C7" s="256"/>
      <c r="D7" s="17" t="s">
        <v>366</v>
      </c>
      <c r="E7" s="17" t="s">
        <v>233</v>
      </c>
      <c r="F7" s="17" t="s">
        <v>204</v>
      </c>
    </row>
    <row r="8" spans="2:6" s="15" customFormat="1" ht="15">
      <c r="B8" s="255"/>
      <c r="C8" s="257"/>
      <c r="D8" s="17" t="s">
        <v>8</v>
      </c>
      <c r="E8" s="17" t="s">
        <v>10</v>
      </c>
      <c r="F8" s="17" t="s">
        <v>226</v>
      </c>
    </row>
    <row r="9" spans="2:6">
      <c r="B9" s="62">
        <v>1</v>
      </c>
      <c r="C9" s="27" t="s">
        <v>278</v>
      </c>
      <c r="D9" s="2"/>
      <c r="E9" s="138">
        <f>'F12'!F17*'F10'!F23*30/366/10</f>
        <v>111.32096936983608</v>
      </c>
      <c r="F9" s="144">
        <f>E9</f>
        <v>111.32096936983608</v>
      </c>
    </row>
    <row r="10" spans="2:6">
      <c r="B10" s="22">
        <f>B9+1</f>
        <v>2</v>
      </c>
      <c r="C10" s="27" t="s">
        <v>279</v>
      </c>
      <c r="D10" s="2"/>
      <c r="E10" s="138">
        <f>E9</f>
        <v>111.32096936983608</v>
      </c>
      <c r="F10" s="144">
        <f>E10</f>
        <v>111.32096936983608</v>
      </c>
    </row>
    <row r="11" spans="2:6">
      <c r="B11" s="22">
        <f t="shared" ref="B11:B19" si="0">B10+1</f>
        <v>3</v>
      </c>
      <c r="C11" s="29" t="s">
        <v>280</v>
      </c>
      <c r="D11" s="2"/>
      <c r="E11" s="138">
        <f>'F10'!F23*'F12'!F18*2/12/10</f>
        <v>1.4542242249233339</v>
      </c>
      <c r="F11" s="144">
        <f>E11</f>
        <v>1.4542242249233339</v>
      </c>
    </row>
    <row r="12" spans="2:6">
      <c r="B12" s="22">
        <f t="shared" si="0"/>
        <v>4</v>
      </c>
      <c r="C12" s="69" t="s">
        <v>281</v>
      </c>
      <c r="D12" s="137">
        <f>'F2'!E14/12</f>
        <v>15.827500000000001</v>
      </c>
      <c r="E12" s="137">
        <f>'F2'!F14/12</f>
        <v>21.557500000000001</v>
      </c>
      <c r="F12" s="161">
        <f>'F2'!G14/12</f>
        <v>21.557500000000001</v>
      </c>
    </row>
    <row r="13" spans="2:6" s="33" customFormat="1" ht="15">
      <c r="B13" s="22">
        <f t="shared" si="0"/>
        <v>5</v>
      </c>
      <c r="C13" s="38" t="s">
        <v>282</v>
      </c>
      <c r="D13" s="70"/>
      <c r="E13" s="144">
        <f>'F1'!G11*20%</f>
        <v>51.738</v>
      </c>
      <c r="F13" s="144">
        <f>'F1'!H11*20%</f>
        <v>51.738</v>
      </c>
    </row>
    <row r="14" spans="2:6">
      <c r="B14" s="22">
        <f t="shared" si="0"/>
        <v>6</v>
      </c>
      <c r="C14" s="69" t="s">
        <v>392</v>
      </c>
      <c r="D14" s="137">
        <f>'F1'!F22*45/365</f>
        <v>270.54863013698628</v>
      </c>
      <c r="E14" s="137">
        <f ca="1">'F1'!G22*2/12</f>
        <v>367.88293432972642</v>
      </c>
      <c r="F14" s="137">
        <f ca="1">'F1'!H22*2/12</f>
        <v>367.88293432972642</v>
      </c>
    </row>
    <row r="15" spans="2:6">
      <c r="B15" s="22"/>
      <c r="C15" s="69" t="s">
        <v>283</v>
      </c>
      <c r="D15" s="70"/>
      <c r="E15" s="29"/>
      <c r="F15" s="3"/>
    </row>
    <row r="16" spans="2:6">
      <c r="B16" s="22">
        <f>B14+1</f>
        <v>7</v>
      </c>
      <c r="C16" s="27" t="s">
        <v>393</v>
      </c>
      <c r="D16" s="137">
        <f>'F1'!F21/12</f>
        <v>120.43833333333333</v>
      </c>
      <c r="E16" s="137">
        <f>'F10'!F23*'F12'!F19*30/366/10</f>
        <v>112.03616161160167</v>
      </c>
      <c r="F16" s="137">
        <f>E16</f>
        <v>112.03616161160167</v>
      </c>
    </row>
    <row r="17" spans="2:6" ht="15">
      <c r="B17" s="22">
        <f t="shared" si="0"/>
        <v>8</v>
      </c>
      <c r="C17" s="27" t="s">
        <v>53</v>
      </c>
      <c r="D17" s="133">
        <f>SUM(D9:D14)-D16</f>
        <v>165.93779680365293</v>
      </c>
      <c r="E17" s="133">
        <f t="shared" ref="E17:F17" ca="1" si="1">SUM(E9:E14)-E16</f>
        <v>553.23843568272025</v>
      </c>
      <c r="F17" s="133">
        <f t="shared" ca="1" si="1"/>
        <v>553.23843568272025</v>
      </c>
    </row>
    <row r="18" spans="2:6">
      <c r="B18" s="22">
        <f t="shared" si="0"/>
        <v>9</v>
      </c>
      <c r="C18" s="27" t="s">
        <v>284</v>
      </c>
      <c r="D18" s="135"/>
      <c r="E18" s="135">
        <v>0.1008</v>
      </c>
      <c r="F18" s="135">
        <v>0.1008</v>
      </c>
    </row>
    <row r="19" spans="2:6" ht="15">
      <c r="B19" s="22">
        <f t="shared" si="0"/>
        <v>10</v>
      </c>
      <c r="C19" s="69" t="s">
        <v>285</v>
      </c>
      <c r="D19" s="133">
        <v>42.74</v>
      </c>
      <c r="E19" s="133">
        <f t="shared" ref="E19:F19" ca="1" si="2">E17*E18</f>
        <v>55.766434316818199</v>
      </c>
      <c r="F19" s="133">
        <f t="shared" ca="1" si="2"/>
        <v>55.766434316818199</v>
      </c>
    </row>
    <row r="20" spans="2:6">
      <c r="D20" s="169"/>
    </row>
    <row r="21" spans="2:6">
      <c r="C21" s="5" t="s">
        <v>235</v>
      </c>
    </row>
    <row r="22" spans="2:6" ht="33" customHeight="1">
      <c r="B22" s="292" t="s">
        <v>483</v>
      </c>
      <c r="C22" s="292"/>
      <c r="D22" s="292"/>
      <c r="E22" s="292"/>
      <c r="F22" s="292"/>
    </row>
  </sheetData>
  <mergeCells count="7">
    <mergeCell ref="B3:F3"/>
    <mergeCell ref="B2:F2"/>
    <mergeCell ref="B22:F22"/>
    <mergeCell ref="B6:B8"/>
    <mergeCell ref="C6:C8"/>
    <mergeCell ref="D6:F6"/>
    <mergeCell ref="B4:F4"/>
  </mergeCells>
  <pageMargins left="1.27" right="0.25" top="1" bottom="1" header="0.25" footer="0.25"/>
  <pageSetup paperSize="9" scale="110"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B1:F23"/>
  <sheetViews>
    <sheetView showGridLines="0" view="pageBreakPreview" zoomScale="86" zoomScaleNormal="96" zoomScaleSheetLayoutView="86" workbookViewId="0">
      <selection activeCell="E33" sqref="E33"/>
    </sheetView>
  </sheetViews>
  <sheetFormatPr defaultColWidth="9.28515625" defaultRowHeight="14.25"/>
  <cols>
    <col min="1" max="1" width="3.28515625" style="5" customWidth="1"/>
    <col min="2" max="2" width="6.28515625" style="5" customWidth="1"/>
    <col min="3" max="3" width="60.28515625" style="5" customWidth="1"/>
    <col min="4" max="4" width="12.42578125" style="5" customWidth="1"/>
    <col min="5" max="5" width="11" style="5" customWidth="1"/>
    <col min="6" max="6" width="13.42578125" style="5" bestFit="1" customWidth="1"/>
    <col min="7" max="9" width="11.7109375" style="5" bestFit="1" customWidth="1"/>
    <col min="10" max="16384" width="9.28515625" style="5"/>
  </cols>
  <sheetData>
    <row r="1" spans="2:6" ht="15">
      <c r="B1" s="25"/>
    </row>
    <row r="2" spans="2:6" ht="14.25" customHeight="1">
      <c r="B2" s="249" t="s">
        <v>397</v>
      </c>
      <c r="C2" s="249"/>
      <c r="D2" s="249"/>
      <c r="E2" s="249"/>
      <c r="F2" s="249"/>
    </row>
    <row r="3" spans="2:6" ht="14.25" customHeight="1">
      <c r="B3" s="249" t="s">
        <v>468</v>
      </c>
      <c r="C3" s="249"/>
      <c r="D3" s="249"/>
      <c r="E3" s="249"/>
      <c r="F3" s="249"/>
    </row>
    <row r="4" spans="2:6" ht="14.25" customHeight="1">
      <c r="B4" s="249" t="s">
        <v>286</v>
      </c>
      <c r="C4" s="249"/>
      <c r="D4" s="249"/>
      <c r="E4" s="249"/>
      <c r="F4" s="249"/>
    </row>
    <row r="5" spans="2:6">
      <c r="F5" s="242" t="s">
        <v>481</v>
      </c>
    </row>
    <row r="6" spans="2:6" s="15" customFormat="1" ht="15" customHeight="1">
      <c r="B6" s="253" t="s">
        <v>189</v>
      </c>
      <c r="C6" s="256" t="s">
        <v>16</v>
      </c>
      <c r="D6" s="260" t="s">
        <v>398</v>
      </c>
      <c r="E6" s="261"/>
      <c r="F6" s="262"/>
    </row>
    <row r="7" spans="2:6" s="15" customFormat="1" ht="45">
      <c r="B7" s="254"/>
      <c r="C7" s="256"/>
      <c r="D7" s="17" t="s">
        <v>366</v>
      </c>
      <c r="E7" s="17" t="s">
        <v>233</v>
      </c>
      <c r="F7" s="17" t="s">
        <v>204</v>
      </c>
    </row>
    <row r="8" spans="2:6" s="15" customFormat="1" ht="15">
      <c r="B8" s="255"/>
      <c r="C8" s="257"/>
      <c r="D8" s="17" t="s">
        <v>8</v>
      </c>
      <c r="E8" s="17" t="s">
        <v>10</v>
      </c>
      <c r="F8" s="17" t="s">
        <v>226</v>
      </c>
    </row>
    <row r="9" spans="2:6">
      <c r="B9" s="62">
        <v>1</v>
      </c>
      <c r="C9" s="27" t="s">
        <v>220</v>
      </c>
      <c r="D9" s="147"/>
      <c r="E9" s="41">
        <f>'F4'!F22*0.3</f>
        <v>1128.3809999999999</v>
      </c>
      <c r="F9" s="41">
        <f>E9</f>
        <v>1128.3809999999999</v>
      </c>
    </row>
    <row r="10" spans="2:6">
      <c r="B10" s="22">
        <f>B9+1</f>
        <v>2</v>
      </c>
      <c r="C10" s="27" t="s">
        <v>221</v>
      </c>
      <c r="D10" s="147"/>
      <c r="E10" s="144">
        <f>F3.1!H13</f>
        <v>8.1916013000000003</v>
      </c>
      <c r="F10" s="144">
        <f>E10</f>
        <v>8.1916013000000003</v>
      </c>
    </row>
    <row r="11" spans="2:6">
      <c r="B11" s="22">
        <f t="shared" ref="B11:B21" si="0">B10+1</f>
        <v>3</v>
      </c>
      <c r="C11" s="29" t="s">
        <v>17</v>
      </c>
      <c r="D11" s="149">
        <f>D10*25%</f>
        <v>0</v>
      </c>
      <c r="E11" s="149">
        <f>E10*30%</f>
        <v>2.4574803900000002</v>
      </c>
      <c r="F11" s="149">
        <f>E11</f>
        <v>2.4574803900000002</v>
      </c>
    </row>
    <row r="12" spans="2:6" ht="28.5">
      <c r="B12" s="22">
        <f t="shared" si="0"/>
        <v>4</v>
      </c>
      <c r="C12" s="69" t="s">
        <v>18</v>
      </c>
      <c r="D12" s="151"/>
      <c r="E12" s="41"/>
      <c r="F12" s="147"/>
    </row>
    <row r="13" spans="2:6" s="33" customFormat="1" ht="15">
      <c r="B13" s="22">
        <f t="shared" si="0"/>
        <v>5</v>
      </c>
      <c r="C13" s="38" t="s">
        <v>19</v>
      </c>
      <c r="D13" s="152">
        <f>D9+D11-D12</f>
        <v>0</v>
      </c>
      <c r="E13" s="152">
        <f t="shared" ref="E13" si="1">E9+E11-E12</f>
        <v>1130.8384803899999</v>
      </c>
      <c r="F13" s="152">
        <f>F9+F11-F12</f>
        <v>1130.8384803899999</v>
      </c>
    </row>
    <row r="14" spans="2:6" s="33" customFormat="1" ht="15">
      <c r="B14" s="22"/>
      <c r="C14" s="71" t="s">
        <v>287</v>
      </c>
      <c r="D14" s="70"/>
      <c r="E14" s="29"/>
      <c r="F14" s="3"/>
    </row>
    <row r="15" spans="2:6" s="33" customFormat="1" ht="15">
      <c r="B15" s="22">
        <f>B13+1</f>
        <v>6</v>
      </c>
      <c r="C15" s="38" t="s">
        <v>288</v>
      </c>
      <c r="D15" s="134">
        <v>0.155</v>
      </c>
      <c r="E15" s="134">
        <v>0.155</v>
      </c>
      <c r="F15" s="134">
        <v>0.155</v>
      </c>
    </row>
    <row r="16" spans="2:6" s="33" customFormat="1" ht="15">
      <c r="B16" s="22">
        <f>B15+1</f>
        <v>7</v>
      </c>
      <c r="C16" s="38" t="s">
        <v>289</v>
      </c>
      <c r="D16" s="135">
        <v>0.17782000000000001</v>
      </c>
      <c r="E16" s="135">
        <v>0.25168000000000001</v>
      </c>
      <c r="F16" s="135">
        <v>0.25168000000000001</v>
      </c>
    </row>
    <row r="17" spans="2:6" s="33" customFormat="1" ht="15">
      <c r="B17" s="22">
        <f>B16+1</f>
        <v>8</v>
      </c>
      <c r="C17" s="30" t="s">
        <v>287</v>
      </c>
      <c r="D17" s="136">
        <f>D15/(1-D16)</f>
        <v>0.18852319443430879</v>
      </c>
      <c r="E17" s="136">
        <f t="shared" ref="E17:F17" si="2">E15/(1-E16)</f>
        <v>0.20713063929869574</v>
      </c>
      <c r="F17" s="136">
        <f t="shared" si="2"/>
        <v>0.20713063929869574</v>
      </c>
    </row>
    <row r="18" spans="2:6" ht="15">
      <c r="B18" s="22"/>
      <c r="C18" s="71" t="s">
        <v>178</v>
      </c>
      <c r="D18" s="132"/>
      <c r="E18" s="29"/>
      <c r="F18" s="3"/>
    </row>
    <row r="19" spans="2:6" ht="17.25" customHeight="1">
      <c r="B19" s="22">
        <f>B17+1</f>
        <v>9</v>
      </c>
      <c r="C19" s="69" t="s">
        <v>222</v>
      </c>
      <c r="D19" s="133">
        <f>D9*D17</f>
        <v>0</v>
      </c>
      <c r="E19" s="133">
        <f t="shared" ref="E19:F19" si="3">E9*E17</f>
        <v>233.72227790250156</v>
      </c>
      <c r="F19" s="133">
        <f t="shared" si="3"/>
        <v>233.72227790250156</v>
      </c>
    </row>
    <row r="20" spans="2:6" ht="18.75" customHeight="1">
      <c r="B20" s="22">
        <f t="shared" si="0"/>
        <v>10</v>
      </c>
      <c r="C20" s="69" t="s">
        <v>223</v>
      </c>
      <c r="D20" s="133">
        <f>AVERAGE(D9,D13)*D17-D19</f>
        <v>0</v>
      </c>
      <c r="E20" s="133">
        <f t="shared" ref="E20:F20" si="4">AVERAGE(E9,E13)*E17-E19</f>
        <v>0.25450974212236588</v>
      </c>
      <c r="F20" s="133">
        <f t="shared" si="4"/>
        <v>0.25450974212236588</v>
      </c>
    </row>
    <row r="21" spans="2:6" ht="15">
      <c r="B21" s="22">
        <f t="shared" si="0"/>
        <v>11</v>
      </c>
      <c r="C21" s="40" t="s">
        <v>179</v>
      </c>
      <c r="D21" s="133">
        <v>215.68</v>
      </c>
      <c r="E21" s="133">
        <f>ROUND((E19+E20),2)</f>
        <v>233.98</v>
      </c>
      <c r="F21" s="133">
        <f>ROUND((F19+F20),2)</f>
        <v>233.98</v>
      </c>
    </row>
    <row r="22" spans="2:6">
      <c r="C22" s="5" t="s">
        <v>235</v>
      </c>
    </row>
    <row r="23" spans="2:6">
      <c r="C23" s="5" t="s">
        <v>395</v>
      </c>
    </row>
  </sheetData>
  <mergeCells count="6">
    <mergeCell ref="B6:B8"/>
    <mergeCell ref="C6:C8"/>
    <mergeCell ref="D6:F6"/>
    <mergeCell ref="B2:F2"/>
    <mergeCell ref="B3:F3"/>
    <mergeCell ref="B4:F4"/>
  </mergeCells>
  <pageMargins left="0.52" right="0.25" top="1" bottom="1" header="0.25" footer="0.25"/>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B1:F34"/>
  <sheetViews>
    <sheetView showGridLines="0" view="pageBreakPreview" zoomScale="90" zoomScaleNormal="112" zoomScaleSheetLayoutView="90" workbookViewId="0">
      <selection activeCell="E33" sqref="E33"/>
    </sheetView>
  </sheetViews>
  <sheetFormatPr defaultColWidth="9.28515625" defaultRowHeight="14.25"/>
  <cols>
    <col min="1" max="1" width="2.7109375" style="5" customWidth="1"/>
    <col min="2" max="2" width="6.28515625" style="5" customWidth="1"/>
    <col min="3" max="3" width="56.28515625" style="5" customWidth="1"/>
    <col min="4" max="5" width="11.28515625" style="5" customWidth="1"/>
    <col min="6" max="6" width="13.7109375" style="5" customWidth="1"/>
    <col min="7" max="9" width="11.7109375" style="5" bestFit="1" customWidth="1"/>
    <col min="10" max="16384" width="9.28515625" style="5"/>
  </cols>
  <sheetData>
    <row r="1" spans="2:6" ht="15">
      <c r="B1" s="25"/>
    </row>
    <row r="3" spans="2:6" ht="14.25" customHeight="1">
      <c r="B3" s="249" t="s">
        <v>397</v>
      </c>
      <c r="C3" s="249"/>
      <c r="D3" s="249"/>
      <c r="E3" s="249"/>
      <c r="F3" s="249"/>
    </row>
    <row r="4" spans="2:6" ht="14.25" customHeight="1">
      <c r="B4" s="249" t="s">
        <v>468</v>
      </c>
      <c r="C4" s="249"/>
      <c r="D4" s="249"/>
      <c r="E4" s="249"/>
      <c r="F4" s="249"/>
    </row>
    <row r="5" spans="2:6" ht="15">
      <c r="B5" s="249" t="s">
        <v>290</v>
      </c>
      <c r="C5" s="249"/>
      <c r="D5" s="249"/>
      <c r="E5" s="249"/>
      <c r="F5" s="249"/>
    </row>
    <row r="6" spans="2:6" ht="15">
      <c r="F6" s="240" t="s">
        <v>482</v>
      </c>
    </row>
    <row r="7" spans="2:6" s="15" customFormat="1" ht="15" customHeight="1">
      <c r="B7" s="253" t="s">
        <v>189</v>
      </c>
      <c r="C7" s="256" t="s">
        <v>16</v>
      </c>
      <c r="D7" s="260" t="s">
        <v>398</v>
      </c>
      <c r="E7" s="261"/>
      <c r="F7" s="262"/>
    </row>
    <row r="8" spans="2:6" s="15" customFormat="1" ht="30">
      <c r="B8" s="254"/>
      <c r="C8" s="256"/>
      <c r="D8" s="17" t="s">
        <v>366</v>
      </c>
      <c r="E8" s="17" t="s">
        <v>233</v>
      </c>
      <c r="F8" s="17" t="s">
        <v>204</v>
      </c>
    </row>
    <row r="9" spans="2:6" s="15" customFormat="1" ht="15">
      <c r="B9" s="255"/>
      <c r="C9" s="257"/>
      <c r="D9" s="17" t="s">
        <v>8</v>
      </c>
      <c r="E9" s="17" t="s">
        <v>10</v>
      </c>
      <c r="F9" s="17" t="s">
        <v>226</v>
      </c>
    </row>
    <row r="10" spans="2:6" s="15" customFormat="1">
      <c r="B10" s="62">
        <v>1</v>
      </c>
      <c r="C10" s="170" t="s">
        <v>412</v>
      </c>
      <c r="D10" s="171"/>
      <c r="E10" s="172">
        <v>0.22243039527018052</v>
      </c>
      <c r="F10" s="172">
        <v>0.22243039527018052</v>
      </c>
    </row>
    <row r="11" spans="2:6" s="15" customFormat="1">
      <c r="B11" s="62">
        <f>B10+1</f>
        <v>2</v>
      </c>
      <c r="C11" s="170" t="s">
        <v>413</v>
      </c>
      <c r="D11" s="171"/>
      <c r="E11" s="172">
        <v>24.682695675818181</v>
      </c>
      <c r="F11" s="172">
        <v>24.682695675818181</v>
      </c>
    </row>
    <row r="12" spans="2:6" s="15" customFormat="1">
      <c r="B12" s="62">
        <f t="shared" ref="B12:B31" si="0">B11+1</f>
        <v>3</v>
      </c>
      <c r="C12" s="170" t="s">
        <v>414</v>
      </c>
      <c r="D12" s="171"/>
      <c r="E12" s="172">
        <v>0.63308219345454553</v>
      </c>
      <c r="F12" s="172">
        <v>0.63308219345454553</v>
      </c>
    </row>
    <row r="13" spans="2:6" s="15" customFormat="1">
      <c r="B13" s="62">
        <f t="shared" si="0"/>
        <v>4</v>
      </c>
      <c r="C13" s="170" t="s">
        <v>415</v>
      </c>
      <c r="D13" s="171"/>
      <c r="E13" s="172">
        <v>1.0097544605454545</v>
      </c>
      <c r="F13" s="172">
        <v>1.0097544605454545</v>
      </c>
    </row>
    <row r="14" spans="2:6" s="15" customFormat="1">
      <c r="B14" s="62">
        <f t="shared" si="0"/>
        <v>5</v>
      </c>
      <c r="C14" s="170" t="s">
        <v>416</v>
      </c>
      <c r="D14" s="172"/>
      <c r="E14" s="172">
        <v>0</v>
      </c>
      <c r="F14" s="172">
        <v>0</v>
      </c>
    </row>
    <row r="15" spans="2:6" s="15" customFormat="1">
      <c r="B15" s="62">
        <f t="shared" si="0"/>
        <v>6</v>
      </c>
      <c r="C15" s="170" t="s">
        <v>417</v>
      </c>
      <c r="D15" s="172"/>
      <c r="E15" s="172">
        <v>0</v>
      </c>
      <c r="F15" s="172">
        <v>0</v>
      </c>
    </row>
    <row r="16" spans="2:6" s="15" customFormat="1">
      <c r="B16" s="62">
        <f t="shared" si="0"/>
        <v>7</v>
      </c>
      <c r="C16" s="170" t="s">
        <v>418</v>
      </c>
      <c r="D16" s="172"/>
      <c r="E16" s="172">
        <v>7.108104532838691E-2</v>
      </c>
      <c r="F16" s="172">
        <v>7.108104532838691E-2</v>
      </c>
    </row>
    <row r="17" spans="2:6" s="15" customFormat="1">
      <c r="B17" s="62">
        <f t="shared" si="0"/>
        <v>8</v>
      </c>
      <c r="C17" s="170" t="s">
        <v>419</v>
      </c>
      <c r="D17" s="172"/>
      <c r="E17" s="172">
        <v>1.525707835923309E-4</v>
      </c>
      <c r="F17" s="172">
        <v>1.525707835923309E-4</v>
      </c>
    </row>
    <row r="18" spans="2:6" s="15" customFormat="1">
      <c r="B18" s="62">
        <f t="shared" si="0"/>
        <v>9</v>
      </c>
      <c r="C18" s="170" t="s">
        <v>420</v>
      </c>
      <c r="D18" s="172"/>
      <c r="E18" s="172">
        <v>0.14025115521844475</v>
      </c>
      <c r="F18" s="172">
        <v>0.14025115521844475</v>
      </c>
    </row>
    <row r="19" spans="2:6" s="15" customFormat="1">
      <c r="B19" s="62">
        <f t="shared" si="0"/>
        <v>10</v>
      </c>
      <c r="C19" s="170" t="s">
        <v>421</v>
      </c>
      <c r="D19" s="172"/>
      <c r="E19" s="172">
        <v>1.9626741564717528E-3</v>
      </c>
      <c r="F19" s="172">
        <v>1.9626741564717528E-3</v>
      </c>
    </row>
    <row r="20" spans="2:6" s="15" customFormat="1">
      <c r="B20" s="62">
        <f t="shared" si="0"/>
        <v>11</v>
      </c>
      <c r="C20" s="170" t="s">
        <v>422</v>
      </c>
      <c r="D20" s="172"/>
      <c r="E20" s="172">
        <v>3.7172529705825207E-2</v>
      </c>
      <c r="F20" s="172">
        <v>3.7172529705825207E-2</v>
      </c>
    </row>
    <row r="21" spans="2:6" s="15" customFormat="1">
      <c r="B21" s="62">
        <f t="shared" si="0"/>
        <v>12</v>
      </c>
      <c r="C21" s="170" t="s">
        <v>423</v>
      </c>
      <c r="D21" s="172"/>
      <c r="E21" s="172">
        <v>8.4721584301519562E-3</v>
      </c>
      <c r="F21" s="172">
        <v>8.4721584301519562E-3</v>
      </c>
    </row>
    <row r="22" spans="2:6">
      <c r="B22" s="62">
        <f t="shared" si="0"/>
        <v>13</v>
      </c>
      <c r="C22" s="170" t="s">
        <v>424</v>
      </c>
      <c r="D22" s="172"/>
      <c r="E22" s="172">
        <v>0.23000930750521531</v>
      </c>
      <c r="F22" s="172">
        <v>0.23000930750521531</v>
      </c>
    </row>
    <row r="23" spans="2:6">
      <c r="B23" s="62">
        <f t="shared" si="0"/>
        <v>14</v>
      </c>
      <c r="C23" s="170" t="s">
        <v>425</v>
      </c>
      <c r="D23" s="172"/>
      <c r="E23" s="172">
        <v>0</v>
      </c>
      <c r="F23" s="172">
        <v>0</v>
      </c>
    </row>
    <row r="24" spans="2:6">
      <c r="B24" s="62">
        <f t="shared" si="0"/>
        <v>15</v>
      </c>
      <c r="C24" s="170" t="s">
        <v>426</v>
      </c>
      <c r="D24" s="172"/>
      <c r="E24" s="172">
        <v>0</v>
      </c>
      <c r="F24" s="172">
        <v>0</v>
      </c>
    </row>
    <row r="25" spans="2:6">
      <c r="B25" s="62">
        <f t="shared" si="0"/>
        <v>16</v>
      </c>
      <c r="C25" s="170" t="s">
        <v>427</v>
      </c>
      <c r="D25" s="172"/>
      <c r="E25" s="172">
        <v>1.8708322444659822E-2</v>
      </c>
      <c r="F25" s="172">
        <v>1.8708322444659822E-2</v>
      </c>
    </row>
    <row r="26" spans="2:6" ht="15.75" customHeight="1">
      <c r="B26" s="62">
        <f t="shared" si="0"/>
        <v>17</v>
      </c>
      <c r="C26" s="170" t="s">
        <v>428</v>
      </c>
      <c r="D26" s="173">
        <f>SUM(D10:D21)</f>
        <v>0</v>
      </c>
      <c r="E26" s="172">
        <v>1.7780428474201495E-2</v>
      </c>
      <c r="F26" s="172">
        <v>1.7780428474201495E-2</v>
      </c>
    </row>
    <row r="27" spans="2:6" s="33" customFormat="1" ht="15">
      <c r="B27" s="62">
        <f t="shared" si="0"/>
        <v>18</v>
      </c>
      <c r="C27" s="170" t="s">
        <v>429</v>
      </c>
      <c r="D27" s="173"/>
      <c r="E27" s="172">
        <v>6.7279587688282211E-2</v>
      </c>
      <c r="F27" s="172">
        <v>6.7279587688282211E-2</v>
      </c>
    </row>
    <row r="28" spans="2:6" s="33" customFormat="1" ht="15">
      <c r="B28" s="62">
        <f t="shared" si="0"/>
        <v>19</v>
      </c>
      <c r="C28" s="170" t="s">
        <v>430</v>
      </c>
      <c r="D28" s="173"/>
      <c r="E28" s="172">
        <v>1.898796691916466E-2</v>
      </c>
      <c r="F28" s="172">
        <v>1.898796691916466E-2</v>
      </c>
    </row>
    <row r="29" spans="2:6" s="33" customFormat="1" ht="12.75" customHeight="1">
      <c r="B29" s="62">
        <f t="shared" si="0"/>
        <v>20</v>
      </c>
      <c r="C29" s="170" t="s">
        <v>431</v>
      </c>
      <c r="D29" s="173"/>
      <c r="E29" s="172">
        <v>1.0917317844353616E-2</v>
      </c>
      <c r="F29" s="172">
        <v>1.0917317844353616E-2</v>
      </c>
    </row>
    <row r="30" spans="2:6" s="33" customFormat="1" ht="15">
      <c r="B30" s="62">
        <f t="shared" si="0"/>
        <v>21</v>
      </c>
      <c r="C30" s="170" t="s">
        <v>432</v>
      </c>
      <c r="D30" s="173"/>
      <c r="E30" s="172">
        <v>4.5576244550144893E-3</v>
      </c>
      <c r="F30" s="172">
        <v>4.5576244550144893E-3</v>
      </c>
    </row>
    <row r="31" spans="2:6" s="33" customFormat="1" ht="15">
      <c r="B31" s="62">
        <f t="shared" si="0"/>
        <v>22</v>
      </c>
      <c r="C31" s="170" t="s">
        <v>433</v>
      </c>
      <c r="D31" s="173"/>
      <c r="E31" s="172">
        <v>4.6873143883636361</v>
      </c>
      <c r="F31" s="172">
        <v>4.6873143883636361</v>
      </c>
    </row>
    <row r="32" spans="2:6">
      <c r="B32" s="22"/>
      <c r="C32" s="69"/>
      <c r="D32" s="70"/>
      <c r="E32" s="29"/>
      <c r="F32" s="3"/>
    </row>
    <row r="33" spans="2:6">
      <c r="B33" s="22"/>
      <c r="C33" s="69"/>
      <c r="D33" s="70"/>
      <c r="E33" s="29"/>
      <c r="F33" s="3"/>
    </row>
    <row r="34" spans="2:6" ht="15">
      <c r="B34" s="22"/>
      <c r="C34" s="31" t="s">
        <v>137</v>
      </c>
      <c r="D34" s="133">
        <f>ROUND(SUM(D10:D33),2)</f>
        <v>0</v>
      </c>
      <c r="E34" s="133">
        <f t="shared" ref="E34:F34" si="1">ROUND(SUM(E10:E33),2)</f>
        <v>31.86</v>
      </c>
      <c r="F34" s="133">
        <f t="shared" si="1"/>
        <v>31.86</v>
      </c>
    </row>
  </sheetData>
  <mergeCells count="6">
    <mergeCell ref="B7:B9"/>
    <mergeCell ref="C7:C9"/>
    <mergeCell ref="D7:F7"/>
    <mergeCell ref="B3:F3"/>
    <mergeCell ref="B4:F4"/>
    <mergeCell ref="B5:F5"/>
  </mergeCells>
  <pageMargins left="1.02" right="0.25" top="1" bottom="1" header="0.25" footer="0.25"/>
  <pageSetup paperSize="9" scale="91" orientation="landscape" r:id="rId1"/>
  <headerFooter alignWithMargins="0"/>
</worksheet>
</file>

<file path=xl/worksheets/sheet15.xml><?xml version="1.0" encoding="utf-8"?>
<worksheet xmlns="http://schemas.openxmlformats.org/spreadsheetml/2006/main" xmlns:r="http://schemas.openxmlformats.org/officeDocument/2006/relationships">
  <dimension ref="B2:D31"/>
  <sheetViews>
    <sheetView showGridLines="0" view="pageBreakPreview" zoomScale="86" zoomScaleNormal="93" zoomScaleSheetLayoutView="86" workbookViewId="0">
      <selection activeCell="E33" sqref="E33"/>
    </sheetView>
  </sheetViews>
  <sheetFormatPr defaultColWidth="9.28515625" defaultRowHeight="14.25"/>
  <cols>
    <col min="1" max="1" width="3.28515625" style="5" customWidth="1"/>
    <col min="2" max="2" width="12.42578125" style="5" customWidth="1"/>
    <col min="3" max="3" width="33.140625" style="5" customWidth="1"/>
    <col min="4" max="4" width="25.5703125" style="5" customWidth="1"/>
    <col min="5" max="16384" width="9.28515625" style="5"/>
  </cols>
  <sheetData>
    <row r="2" spans="2:4" ht="15">
      <c r="B2" s="249" t="s">
        <v>397</v>
      </c>
      <c r="C2" s="249"/>
      <c r="D2" s="249"/>
    </row>
    <row r="3" spans="2:4" ht="15">
      <c r="B3" s="249" t="s">
        <v>468</v>
      </c>
      <c r="C3" s="249"/>
      <c r="D3" s="249"/>
    </row>
    <row r="4" spans="2:4" ht="14.25" customHeight="1">
      <c r="B4" s="249" t="s">
        <v>292</v>
      </c>
      <c r="C4" s="249"/>
      <c r="D4" s="249"/>
    </row>
    <row r="5" spans="2:4" ht="15">
      <c r="B5" s="25"/>
      <c r="C5" s="73"/>
      <c r="D5" s="74"/>
    </row>
    <row r="6" spans="2:4" ht="15" customHeight="1">
      <c r="B6" s="264" t="s">
        <v>2</v>
      </c>
      <c r="C6" s="269" t="s">
        <v>16</v>
      </c>
      <c r="D6" s="68" t="s">
        <v>398</v>
      </c>
    </row>
    <row r="7" spans="2:4" ht="15">
      <c r="B7" s="264"/>
      <c r="C7" s="269"/>
      <c r="D7" s="17" t="s">
        <v>291</v>
      </c>
    </row>
    <row r="8" spans="2:4" ht="32.25" customHeight="1">
      <c r="B8" s="293"/>
      <c r="C8" s="294"/>
      <c r="D8" s="17" t="s">
        <v>3</v>
      </c>
    </row>
    <row r="9" spans="2:4" ht="15">
      <c r="B9" s="75">
        <v>1</v>
      </c>
      <c r="C9" s="76" t="s">
        <v>161</v>
      </c>
      <c r="D9" s="72"/>
    </row>
    <row r="10" spans="2:4" s="33" customFormat="1" ht="15">
      <c r="B10" s="77" t="s">
        <v>55</v>
      </c>
      <c r="C10" s="40" t="s">
        <v>56</v>
      </c>
      <c r="D10" s="78"/>
    </row>
    <row r="11" spans="2:4" s="33" customFormat="1" ht="15">
      <c r="B11" s="79"/>
      <c r="C11" s="29" t="s">
        <v>57</v>
      </c>
      <c r="D11" s="78"/>
    </row>
    <row r="12" spans="2:4" s="33" customFormat="1" ht="15">
      <c r="B12" s="79"/>
      <c r="C12" s="29" t="s">
        <v>58</v>
      </c>
      <c r="D12" s="78"/>
    </row>
    <row r="13" spans="2:4" s="33" customFormat="1" ht="15">
      <c r="B13" s="79"/>
      <c r="C13" s="29" t="s">
        <v>59</v>
      </c>
      <c r="D13" s="78"/>
    </row>
    <row r="14" spans="2:4" s="33" customFormat="1" ht="28.5">
      <c r="B14" s="79"/>
      <c r="C14" s="80"/>
      <c r="D14" s="243" t="s">
        <v>479</v>
      </c>
    </row>
    <row r="15" spans="2:4" s="33" customFormat="1" ht="15">
      <c r="B15" s="77" t="s">
        <v>60</v>
      </c>
      <c r="C15" s="81" t="s">
        <v>61</v>
      </c>
      <c r="D15" s="78"/>
    </row>
    <row r="16" spans="2:4" s="33" customFormat="1" ht="15">
      <c r="B16" s="79"/>
      <c r="C16" s="29" t="s">
        <v>57</v>
      </c>
      <c r="D16" s="78"/>
    </row>
    <row r="17" spans="2:4">
      <c r="B17" s="79"/>
      <c r="C17" s="29" t="s">
        <v>58</v>
      </c>
      <c r="D17" s="78"/>
    </row>
    <row r="18" spans="2:4">
      <c r="B18" s="82"/>
      <c r="C18" s="29" t="s">
        <v>62</v>
      </c>
      <c r="D18" s="78"/>
    </row>
    <row r="19" spans="2:4" ht="15">
      <c r="B19" s="82"/>
      <c r="C19" s="81"/>
      <c r="D19" s="78"/>
    </row>
    <row r="20" spans="2:4" ht="17.25" customHeight="1">
      <c r="B20" s="77">
        <v>2</v>
      </c>
      <c r="C20" s="76" t="s">
        <v>162</v>
      </c>
      <c r="D20" s="78"/>
    </row>
    <row r="21" spans="2:4" ht="17.25" customHeight="1">
      <c r="B21" s="77"/>
      <c r="C21" s="76" t="s">
        <v>63</v>
      </c>
      <c r="D21" s="78"/>
    </row>
    <row r="22" spans="2:4" ht="17.25" customHeight="1">
      <c r="B22" s="77"/>
      <c r="C22" s="76" t="s">
        <v>63</v>
      </c>
      <c r="D22" s="78"/>
    </row>
    <row r="23" spans="2:4" ht="15">
      <c r="B23" s="79"/>
      <c r="C23" s="81" t="s">
        <v>64</v>
      </c>
      <c r="D23" s="78"/>
    </row>
    <row r="25" spans="2:4" ht="15">
      <c r="B25" s="83" t="s">
        <v>52</v>
      </c>
      <c r="C25" s="84"/>
      <c r="D25" s="84"/>
    </row>
    <row r="26" spans="2:4" ht="25.5" customHeight="1">
      <c r="B26" s="292" t="s">
        <v>206</v>
      </c>
      <c r="C26" s="292"/>
      <c r="D26" s="292"/>
    </row>
    <row r="27" spans="2:4" ht="18" customHeight="1">
      <c r="B27" s="84"/>
    </row>
    <row r="28" spans="2:4">
      <c r="B28" s="84"/>
      <c r="C28" s="84"/>
      <c r="D28" s="84"/>
    </row>
    <row r="29" spans="2:4">
      <c r="B29" s="84"/>
      <c r="C29" s="84"/>
      <c r="D29" s="84"/>
    </row>
    <row r="30" spans="2:4">
      <c r="B30" s="84"/>
      <c r="C30" s="84"/>
      <c r="D30" s="84"/>
    </row>
    <row r="31" spans="2:4">
      <c r="B31" s="84"/>
      <c r="C31" s="84"/>
      <c r="D31" s="84"/>
    </row>
  </sheetData>
  <mergeCells count="6">
    <mergeCell ref="B26:D26"/>
    <mergeCell ref="B6:B8"/>
    <mergeCell ref="C6:C8"/>
    <mergeCell ref="B3:D3"/>
    <mergeCell ref="B2:D2"/>
    <mergeCell ref="B4:D4"/>
  </mergeCells>
  <pageMargins left="1.75" right="0.75" top="0.5" bottom="0.5" header="0.5" footer="0.5"/>
  <pageSetup paperSize="9" scale="110" orientation="landscape" r:id="rId1"/>
  <headerFooter alignWithMargins="0"/>
</worksheet>
</file>

<file path=xl/worksheets/sheet16.xml><?xml version="1.0" encoding="utf-8"?>
<worksheet xmlns="http://schemas.openxmlformats.org/spreadsheetml/2006/main" xmlns:r="http://schemas.openxmlformats.org/officeDocument/2006/relationships">
  <sheetPr>
    <pageSetUpPr fitToPage="1"/>
  </sheetPr>
  <dimension ref="B2:H48"/>
  <sheetViews>
    <sheetView showGridLines="0" view="pageBreakPreview" zoomScale="74" zoomScaleNormal="91" zoomScaleSheetLayoutView="74" workbookViewId="0">
      <selection activeCell="E33" sqref="E33"/>
    </sheetView>
  </sheetViews>
  <sheetFormatPr defaultColWidth="9.28515625" defaultRowHeight="14.25"/>
  <cols>
    <col min="1" max="1" width="3.28515625" style="5" customWidth="1"/>
    <col min="2" max="2" width="6.28515625" style="5" customWidth="1"/>
    <col min="3" max="3" width="55.28515625" style="5" customWidth="1"/>
    <col min="4" max="4" width="11" style="35" customWidth="1"/>
    <col min="5" max="5" width="14" style="35" customWidth="1"/>
    <col min="6" max="6" width="12.140625" style="5" customWidth="1"/>
    <col min="7" max="7" width="15" style="5" customWidth="1"/>
    <col min="8" max="8" width="15.7109375" style="5" customWidth="1"/>
    <col min="9" max="16384" width="9.28515625" style="5"/>
  </cols>
  <sheetData>
    <row r="2" spans="2:8" ht="14.25" customHeight="1">
      <c r="B2" s="249" t="s">
        <v>397</v>
      </c>
      <c r="C2" s="249"/>
      <c r="D2" s="249"/>
      <c r="E2" s="249"/>
      <c r="F2" s="249"/>
      <c r="G2" s="249"/>
      <c r="H2" s="249"/>
    </row>
    <row r="3" spans="2:8" ht="14.25" customHeight="1">
      <c r="B3" s="249" t="s">
        <v>468</v>
      </c>
      <c r="C3" s="249"/>
      <c r="D3" s="249"/>
      <c r="E3" s="249"/>
      <c r="F3" s="249"/>
      <c r="G3" s="249"/>
      <c r="H3" s="249"/>
    </row>
    <row r="4" spans="2:8" s="15" customFormat="1" ht="14.25" customHeight="1">
      <c r="B4" s="249" t="s">
        <v>293</v>
      </c>
      <c r="C4" s="249"/>
      <c r="D4" s="249"/>
      <c r="E4" s="249"/>
      <c r="F4" s="249"/>
      <c r="G4" s="249"/>
      <c r="H4" s="249"/>
    </row>
    <row r="5" spans="2:8" s="15" customFormat="1" ht="15">
      <c r="C5" s="73"/>
      <c r="D5" s="35"/>
      <c r="E5" s="35"/>
      <c r="F5" s="85"/>
      <c r="G5" s="85"/>
      <c r="H5" s="34"/>
    </row>
    <row r="6" spans="2:8" ht="15">
      <c r="B6" s="258" t="s">
        <v>189</v>
      </c>
      <c r="C6" s="295" t="s">
        <v>16</v>
      </c>
      <c r="D6" s="295" t="s">
        <v>37</v>
      </c>
      <c r="E6" s="260" t="s">
        <v>398</v>
      </c>
      <c r="F6" s="261"/>
      <c r="G6" s="262"/>
      <c r="H6" s="258" t="s">
        <v>9</v>
      </c>
    </row>
    <row r="7" spans="2:8" ht="30">
      <c r="B7" s="295"/>
      <c r="C7" s="295"/>
      <c r="D7" s="295"/>
      <c r="E7" s="17" t="s">
        <v>366</v>
      </c>
      <c r="F7" s="17" t="s">
        <v>233</v>
      </c>
      <c r="G7" s="17" t="s">
        <v>204</v>
      </c>
      <c r="H7" s="258"/>
    </row>
    <row r="8" spans="2:8" ht="15">
      <c r="B8" s="295"/>
      <c r="C8" s="295"/>
      <c r="D8" s="295"/>
      <c r="E8" s="17" t="s">
        <v>8</v>
      </c>
      <c r="F8" s="17" t="s">
        <v>10</v>
      </c>
      <c r="G8" s="17" t="s">
        <v>226</v>
      </c>
      <c r="H8" s="259"/>
    </row>
    <row r="9" spans="2:8" ht="15">
      <c r="B9" s="17"/>
      <c r="C9" s="86"/>
      <c r="D9" s="87"/>
      <c r="E9" s="87"/>
      <c r="F9" s="27"/>
      <c r="G9" s="27"/>
      <c r="H9" s="27"/>
    </row>
    <row r="10" spans="2:8" ht="15">
      <c r="B10" s="88">
        <v>1</v>
      </c>
      <c r="C10" s="89" t="s">
        <v>208</v>
      </c>
      <c r="D10" s="88" t="s">
        <v>38</v>
      </c>
      <c r="E10" s="88">
        <v>600</v>
      </c>
      <c r="F10" s="90"/>
      <c r="G10" s="90"/>
      <c r="H10" s="27"/>
    </row>
    <row r="11" spans="2:8" ht="15">
      <c r="B11" s="88"/>
      <c r="C11" s="89" t="s">
        <v>340</v>
      </c>
      <c r="D11" s="88"/>
      <c r="E11" s="88" t="s">
        <v>477</v>
      </c>
      <c r="F11" s="90"/>
      <c r="G11" s="90"/>
      <c r="H11" s="27"/>
    </row>
    <row r="12" spans="2:8" ht="13.5" customHeight="1">
      <c r="B12" s="88"/>
      <c r="C12" s="89" t="s">
        <v>217</v>
      </c>
      <c r="D12" s="88"/>
      <c r="E12" s="88" t="s">
        <v>478</v>
      </c>
      <c r="F12" s="90"/>
      <c r="G12" s="90"/>
      <c r="H12" s="27"/>
    </row>
    <row r="13" spans="2:8" ht="15">
      <c r="B13" s="88"/>
      <c r="C13" s="89"/>
      <c r="D13" s="88"/>
      <c r="E13" s="88"/>
      <c r="F13" s="90"/>
      <c r="G13" s="90"/>
      <c r="H13" s="27"/>
    </row>
    <row r="14" spans="2:8" ht="15">
      <c r="B14" s="17">
        <v>2</v>
      </c>
      <c r="C14" s="86" t="s">
        <v>169</v>
      </c>
      <c r="D14" s="88"/>
      <c r="E14" s="88"/>
      <c r="F14" s="90"/>
      <c r="G14" s="90"/>
      <c r="H14" s="27"/>
    </row>
    <row r="15" spans="2:8" ht="15">
      <c r="B15" s="88">
        <f>B14+0.1</f>
        <v>2.1</v>
      </c>
      <c r="C15" s="89" t="s">
        <v>39</v>
      </c>
      <c r="D15" s="88" t="s">
        <v>40</v>
      </c>
      <c r="E15" s="88">
        <v>80</v>
      </c>
      <c r="F15" s="90">
        <v>80</v>
      </c>
      <c r="G15" s="90">
        <v>80</v>
      </c>
      <c r="H15" s="27"/>
    </row>
    <row r="16" spans="2:8" ht="15">
      <c r="B16" s="88">
        <f>B15+0.1</f>
        <v>2.2000000000000002</v>
      </c>
      <c r="C16" s="89" t="s">
        <v>153</v>
      </c>
      <c r="D16" s="88" t="s">
        <v>40</v>
      </c>
      <c r="E16" s="88"/>
      <c r="F16" s="90">
        <v>90.03</v>
      </c>
      <c r="G16" s="90">
        <v>90.03</v>
      </c>
      <c r="H16" s="27"/>
    </row>
    <row r="17" spans="2:8" ht="15">
      <c r="B17" s="88"/>
      <c r="C17" s="89"/>
      <c r="D17" s="88"/>
      <c r="E17" s="88"/>
      <c r="F17" s="90"/>
      <c r="G17" s="90"/>
      <c r="H17" s="27"/>
    </row>
    <row r="18" spans="2:8" ht="15">
      <c r="B18" s="17">
        <v>3</v>
      </c>
      <c r="C18" s="86" t="s">
        <v>170</v>
      </c>
      <c r="D18" s="88"/>
      <c r="E18" s="88"/>
      <c r="F18" s="90"/>
      <c r="G18" s="90"/>
      <c r="H18" s="27"/>
    </row>
    <row r="19" spans="2:8" ht="15">
      <c r="B19" s="88">
        <f>B18+0.1</f>
        <v>3.1</v>
      </c>
      <c r="C19" s="89" t="s">
        <v>41</v>
      </c>
      <c r="D19" s="88" t="s">
        <v>40</v>
      </c>
      <c r="E19" s="88">
        <v>80</v>
      </c>
      <c r="F19" s="90">
        <v>80</v>
      </c>
      <c r="G19" s="90">
        <v>80</v>
      </c>
      <c r="H19" s="27"/>
    </row>
    <row r="20" spans="2:8" ht="15">
      <c r="B20" s="88">
        <f>B19+0.1</f>
        <v>3.2</v>
      </c>
      <c r="C20" s="89" t="s">
        <v>154</v>
      </c>
      <c r="D20" s="88" t="s">
        <v>40</v>
      </c>
      <c r="E20" s="88"/>
      <c r="F20" s="90">
        <v>84.99</v>
      </c>
      <c r="G20" s="90">
        <v>84.99</v>
      </c>
      <c r="H20" s="27"/>
    </row>
    <row r="21" spans="2:8" ht="15">
      <c r="B21" s="88"/>
      <c r="C21" s="89"/>
      <c r="D21" s="88"/>
      <c r="E21" s="88"/>
      <c r="F21" s="17"/>
      <c r="G21" s="17"/>
      <c r="H21" s="27"/>
    </row>
    <row r="22" spans="2:8" ht="15">
      <c r="B22" s="17">
        <v>4</v>
      </c>
      <c r="C22" s="86" t="s">
        <v>54</v>
      </c>
      <c r="D22" s="88"/>
      <c r="E22" s="88"/>
      <c r="G22" s="17"/>
      <c r="H22" s="27"/>
    </row>
    <row r="23" spans="2:8" ht="15.75">
      <c r="B23" s="88">
        <f>B22+0.1</f>
        <v>4.0999999999999996</v>
      </c>
      <c r="C23" s="89" t="s">
        <v>42</v>
      </c>
      <c r="D23" s="88" t="s">
        <v>43</v>
      </c>
      <c r="E23" s="88"/>
      <c r="F23" s="236">
        <v>4218.9999047272722</v>
      </c>
      <c r="G23" s="237">
        <f>F23</f>
        <v>4218.9999047272722</v>
      </c>
      <c r="H23" s="27"/>
    </row>
    <row r="24" spans="2:8" ht="15">
      <c r="B24" s="88">
        <f>B23+0.1</f>
        <v>4.1999999999999993</v>
      </c>
      <c r="C24" s="91" t="s">
        <v>155</v>
      </c>
      <c r="D24" s="88" t="s">
        <v>43</v>
      </c>
      <c r="E24" s="88"/>
      <c r="F24" s="17">
        <v>4479.1099999999997</v>
      </c>
      <c r="G24" s="17">
        <f>F24</f>
        <v>4479.1099999999997</v>
      </c>
      <c r="H24" s="27"/>
    </row>
    <row r="25" spans="2:8" ht="15">
      <c r="B25" s="88"/>
      <c r="C25" s="91"/>
      <c r="D25" s="88"/>
      <c r="E25" s="88"/>
      <c r="F25" s="17"/>
      <c r="G25" s="17"/>
      <c r="H25" s="27"/>
    </row>
    <row r="26" spans="2:8" ht="15">
      <c r="B26" s="17">
        <v>5</v>
      </c>
      <c r="C26" s="92" t="s">
        <v>167</v>
      </c>
      <c r="D26" s="88"/>
      <c r="E26" s="88"/>
      <c r="F26" s="17"/>
      <c r="G26" s="17"/>
      <c r="H26" s="27"/>
    </row>
    <row r="27" spans="2:8" ht="15">
      <c r="B27" s="88">
        <f>B26+0.1</f>
        <v>5.0999999999999996</v>
      </c>
      <c r="C27" s="91" t="s">
        <v>44</v>
      </c>
      <c r="D27" s="88" t="s">
        <v>40</v>
      </c>
      <c r="E27" s="88">
        <v>7</v>
      </c>
      <c r="F27" s="17">
        <v>7</v>
      </c>
      <c r="G27" s="17">
        <v>7</v>
      </c>
      <c r="H27" s="27"/>
    </row>
    <row r="28" spans="2:8" ht="16.5" customHeight="1">
      <c r="B28" s="88">
        <f>B27+0.1</f>
        <v>5.1999999999999993</v>
      </c>
      <c r="C28" s="91" t="s">
        <v>156</v>
      </c>
      <c r="D28" s="88" t="s">
        <v>40</v>
      </c>
      <c r="E28" s="88"/>
      <c r="F28" s="17">
        <v>5.81</v>
      </c>
      <c r="G28" s="17">
        <v>5.81</v>
      </c>
      <c r="H28" s="27"/>
    </row>
    <row r="29" spans="2:8" ht="16.5" customHeight="1">
      <c r="B29" s="88">
        <f>B28+0.1</f>
        <v>5.2999999999999989</v>
      </c>
      <c r="C29" s="91" t="s">
        <v>156</v>
      </c>
      <c r="D29" s="88" t="s">
        <v>43</v>
      </c>
      <c r="E29" s="88"/>
      <c r="F29" s="17">
        <v>260.11</v>
      </c>
      <c r="G29" s="17">
        <f>F29</f>
        <v>260.11</v>
      </c>
      <c r="H29" s="27"/>
    </row>
    <row r="30" spans="2:8" ht="15">
      <c r="B30" s="88">
        <f>B29+0.1</f>
        <v>5.3999999999999986</v>
      </c>
      <c r="C30" s="91" t="s">
        <v>45</v>
      </c>
      <c r="D30" s="88" t="s">
        <v>43</v>
      </c>
      <c r="E30" s="88"/>
      <c r="F30" s="17">
        <v>4219</v>
      </c>
      <c r="G30" s="17">
        <f>F30</f>
        <v>4219</v>
      </c>
      <c r="H30" s="27"/>
    </row>
    <row r="31" spans="2:8" ht="15">
      <c r="B31" s="88"/>
      <c r="C31" s="91"/>
      <c r="D31" s="88"/>
      <c r="E31" s="88"/>
      <c r="F31" s="17"/>
      <c r="G31" s="17"/>
      <c r="H31" s="27"/>
    </row>
    <row r="32" spans="2:8" ht="15">
      <c r="B32" s="17">
        <v>6</v>
      </c>
      <c r="C32" s="92" t="s">
        <v>203</v>
      </c>
      <c r="D32" s="88"/>
      <c r="E32" s="88"/>
      <c r="F32" s="17"/>
      <c r="G32" s="17"/>
      <c r="H32" s="27"/>
    </row>
    <row r="33" spans="2:8" ht="15">
      <c r="B33" s="88">
        <f>B32+0.1</f>
        <v>6.1</v>
      </c>
      <c r="C33" s="91" t="s">
        <v>46</v>
      </c>
      <c r="D33" s="88" t="s">
        <v>47</v>
      </c>
      <c r="E33" s="88">
        <v>2400</v>
      </c>
      <c r="F33" s="17">
        <v>2400</v>
      </c>
      <c r="G33" s="17">
        <v>2400</v>
      </c>
      <c r="H33" s="27"/>
    </row>
    <row r="34" spans="2:8" ht="15">
      <c r="B34" s="88">
        <f>B33+0.1</f>
        <v>6.1999999999999993</v>
      </c>
      <c r="C34" s="89" t="s">
        <v>157</v>
      </c>
      <c r="D34" s="88" t="s">
        <v>47</v>
      </c>
      <c r="E34" s="88"/>
      <c r="F34" s="17">
        <v>2367</v>
      </c>
      <c r="G34" s="17">
        <v>2367</v>
      </c>
      <c r="H34" s="27"/>
    </row>
    <row r="35" spans="2:8" ht="15">
      <c r="B35" s="88"/>
      <c r="C35" s="89"/>
      <c r="D35" s="88"/>
      <c r="E35" s="88"/>
      <c r="F35" s="17"/>
      <c r="G35" s="17"/>
      <c r="H35" s="27"/>
    </row>
    <row r="36" spans="2:8" ht="15">
      <c r="B36" s="17">
        <v>7</v>
      </c>
      <c r="C36" s="86" t="s">
        <v>171</v>
      </c>
      <c r="D36" s="88"/>
      <c r="E36" s="88"/>
      <c r="F36" s="17"/>
      <c r="G36" s="17"/>
      <c r="H36" s="27"/>
    </row>
    <row r="37" spans="2:8" ht="15">
      <c r="B37" s="88">
        <f>B36+0.1</f>
        <v>7.1</v>
      </c>
      <c r="C37" s="89" t="s">
        <v>48</v>
      </c>
      <c r="D37" s="88" t="s">
        <v>49</v>
      </c>
      <c r="E37" s="88">
        <v>2</v>
      </c>
      <c r="F37" s="17">
        <v>2</v>
      </c>
      <c r="G37" s="17">
        <v>2</v>
      </c>
      <c r="H37" s="27"/>
    </row>
    <row r="38" spans="2:8" ht="15">
      <c r="B38" s="88">
        <f>B37+0.1</f>
        <v>7.1999999999999993</v>
      </c>
      <c r="C38" s="89" t="s">
        <v>158</v>
      </c>
      <c r="D38" s="88" t="s">
        <v>49</v>
      </c>
      <c r="E38" s="88"/>
      <c r="F38" s="17">
        <v>0.29499999999999998</v>
      </c>
      <c r="G38" s="17">
        <v>0.29499999999999998</v>
      </c>
      <c r="H38" s="27"/>
    </row>
    <row r="39" spans="2:8" ht="15">
      <c r="B39" s="88"/>
      <c r="C39" s="89"/>
      <c r="D39" s="88"/>
      <c r="E39" s="88"/>
      <c r="F39" s="17"/>
      <c r="G39" s="17"/>
      <c r="H39" s="27"/>
    </row>
    <row r="40" spans="2:8" ht="15">
      <c r="B40" s="17">
        <v>8</v>
      </c>
      <c r="C40" s="86" t="s">
        <v>51</v>
      </c>
      <c r="D40" s="88"/>
      <c r="E40" s="88"/>
      <c r="F40" s="17"/>
      <c r="G40" s="17"/>
      <c r="H40" s="27"/>
    </row>
    <row r="41" spans="2:8">
      <c r="B41" s="88">
        <f>B40+0.1</f>
        <v>8.1</v>
      </c>
      <c r="C41" s="89" t="s">
        <v>50</v>
      </c>
      <c r="D41" s="88" t="s">
        <v>40</v>
      </c>
      <c r="E41" s="88">
        <v>0.8</v>
      </c>
      <c r="F41" s="88">
        <v>0.8</v>
      </c>
      <c r="G41" s="88">
        <v>0.8</v>
      </c>
      <c r="H41" s="27"/>
    </row>
    <row r="42" spans="2:8" ht="15">
      <c r="B42" s="88">
        <f>B41+0.1</f>
        <v>8.1999999999999993</v>
      </c>
      <c r="C42" s="89" t="s">
        <v>159</v>
      </c>
      <c r="D42" s="88" t="s">
        <v>40</v>
      </c>
      <c r="E42" s="88"/>
      <c r="F42" s="17">
        <v>0.8</v>
      </c>
      <c r="G42" s="17">
        <v>0.8</v>
      </c>
      <c r="H42" s="27"/>
    </row>
    <row r="43" spans="2:8" ht="15">
      <c r="B43" s="17"/>
      <c r="C43" s="86"/>
      <c r="D43" s="87"/>
      <c r="E43" s="87"/>
      <c r="F43" s="17"/>
      <c r="G43" s="17"/>
      <c r="H43" s="27"/>
    </row>
    <row r="44" spans="2:8" ht="15">
      <c r="B44" s="39"/>
      <c r="C44" s="93"/>
      <c r="D44" s="94"/>
      <c r="E44" s="94"/>
      <c r="F44" s="39"/>
      <c r="G44" s="39"/>
    </row>
    <row r="45" spans="2:8" ht="16.5">
      <c r="D45" s="95"/>
      <c r="E45" s="95"/>
      <c r="F45" s="96"/>
      <c r="G45" s="96"/>
    </row>
    <row r="46" spans="2:8" ht="16.5">
      <c r="B46" s="15"/>
      <c r="F46" s="96"/>
      <c r="G46" s="96"/>
    </row>
    <row r="47" spans="2:8" ht="16.5">
      <c r="C47" s="49"/>
      <c r="F47" s="96"/>
      <c r="G47" s="96"/>
    </row>
    <row r="48" spans="2:8">
      <c r="F48" s="97"/>
      <c r="G48" s="97"/>
    </row>
  </sheetData>
  <mergeCells count="8">
    <mergeCell ref="B2:H2"/>
    <mergeCell ref="B3:H3"/>
    <mergeCell ref="B4:H4"/>
    <mergeCell ref="B6:B8"/>
    <mergeCell ref="C6:C8"/>
    <mergeCell ref="D6:D8"/>
    <mergeCell ref="H6:H8"/>
    <mergeCell ref="E6:G6"/>
  </mergeCells>
  <pageMargins left="1.1599999999999999" right="0.5" top="0.43" bottom="0.63" header="0.5" footer="0.5"/>
  <pageSetup paperSize="9" scale="81" orientation="landscape"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B2:V53"/>
  <sheetViews>
    <sheetView showGridLines="0" showWhiteSpace="0" view="pageBreakPreview" zoomScale="70" zoomScaleNormal="91" zoomScaleSheetLayoutView="70" zoomScalePageLayoutView="48" workbookViewId="0">
      <selection activeCell="E33" sqref="E33"/>
    </sheetView>
  </sheetViews>
  <sheetFormatPr defaultColWidth="9.28515625" defaultRowHeight="14.25"/>
  <cols>
    <col min="1" max="1" width="2.28515625" style="98" customWidth="1"/>
    <col min="2" max="2" width="9.28515625" style="98"/>
    <col min="3" max="3" width="57.5703125" style="98" customWidth="1"/>
    <col min="4" max="4" width="8.42578125" style="99" customWidth="1"/>
    <col min="5" max="5" width="11.85546875" style="98" bestFit="1" customWidth="1"/>
    <col min="6" max="6" width="11.5703125" style="98" customWidth="1"/>
    <col min="7" max="9" width="10.7109375" style="98" bestFit="1" customWidth="1"/>
    <col min="10" max="11" width="11" style="98" customWidth="1"/>
    <col min="12" max="12" width="10.140625" style="98" customWidth="1"/>
    <col min="13" max="14" width="10.7109375" style="98" bestFit="1" customWidth="1"/>
    <col min="15" max="15" width="11" style="98" customWidth="1"/>
    <col min="16" max="16" width="10.7109375" style="98" bestFit="1" customWidth="1"/>
    <col min="17" max="17" width="10.42578125" style="98" customWidth="1"/>
    <col min="18" max="19" width="10.7109375" style="98" bestFit="1" customWidth="1"/>
    <col min="20" max="21" width="11.140625" style="98" customWidth="1"/>
    <col min="22" max="22" width="11.85546875" style="98" customWidth="1"/>
    <col min="23" max="16384" width="9.28515625" style="98"/>
  </cols>
  <sheetData>
    <row r="2" spans="2:22" ht="14.25" customHeight="1">
      <c r="B2" s="249" t="s">
        <v>397</v>
      </c>
      <c r="C2" s="249"/>
      <c r="D2" s="249"/>
      <c r="E2" s="249"/>
      <c r="F2" s="249"/>
      <c r="G2" s="249"/>
      <c r="H2" s="249"/>
      <c r="I2" s="249"/>
      <c r="J2" s="249"/>
      <c r="K2" s="249"/>
      <c r="L2" s="249"/>
      <c r="M2" s="249"/>
      <c r="N2" s="249"/>
      <c r="O2" s="249"/>
      <c r="P2" s="249"/>
      <c r="Q2" s="249"/>
      <c r="R2" s="249"/>
      <c r="S2" s="249"/>
      <c r="T2" s="249"/>
      <c r="U2" s="249"/>
      <c r="V2" s="249"/>
    </row>
    <row r="3" spans="2:22" ht="14.25" customHeight="1">
      <c r="B3" s="249" t="s">
        <v>468</v>
      </c>
      <c r="C3" s="249"/>
      <c r="D3" s="249"/>
      <c r="E3" s="249"/>
      <c r="F3" s="249"/>
      <c r="G3" s="249"/>
      <c r="H3" s="249"/>
      <c r="I3" s="249"/>
      <c r="J3" s="249"/>
      <c r="K3" s="249"/>
      <c r="L3" s="249"/>
      <c r="M3" s="249"/>
      <c r="N3" s="249"/>
      <c r="O3" s="249"/>
      <c r="P3" s="249"/>
      <c r="Q3" s="249"/>
      <c r="R3" s="249"/>
      <c r="S3" s="249"/>
      <c r="T3" s="249"/>
      <c r="U3" s="249"/>
      <c r="V3" s="249"/>
    </row>
    <row r="4" spans="2:22" ht="14.25" customHeight="1">
      <c r="B4" s="249" t="s">
        <v>341</v>
      </c>
      <c r="C4" s="249"/>
      <c r="D4" s="249"/>
      <c r="E4" s="249"/>
      <c r="F4" s="249"/>
      <c r="G4" s="249"/>
      <c r="H4" s="249"/>
      <c r="I4" s="249"/>
      <c r="J4" s="249"/>
      <c r="K4" s="249"/>
      <c r="L4" s="249"/>
      <c r="M4" s="249"/>
      <c r="N4" s="249"/>
      <c r="O4" s="249"/>
      <c r="P4" s="249"/>
      <c r="Q4" s="249"/>
      <c r="R4" s="249"/>
      <c r="S4" s="249"/>
      <c r="T4" s="249"/>
      <c r="U4" s="249"/>
      <c r="V4" s="249"/>
    </row>
    <row r="6" spans="2:22" ht="15">
      <c r="B6" s="296" t="s">
        <v>189</v>
      </c>
      <c r="C6" s="296" t="s">
        <v>16</v>
      </c>
      <c r="D6" s="296" t="s">
        <v>37</v>
      </c>
      <c r="E6" s="296" t="s">
        <v>398</v>
      </c>
      <c r="F6" s="296"/>
      <c r="G6" s="296"/>
      <c r="H6" s="296"/>
      <c r="I6" s="296"/>
      <c r="J6" s="296"/>
      <c r="K6" s="296"/>
      <c r="L6" s="296"/>
      <c r="M6" s="296"/>
      <c r="N6" s="296"/>
      <c r="O6" s="296"/>
      <c r="P6" s="296"/>
      <c r="Q6" s="296" t="s">
        <v>399</v>
      </c>
      <c r="R6" s="296"/>
      <c r="S6" s="296"/>
      <c r="T6" s="296"/>
      <c r="U6" s="296"/>
      <c r="V6" s="296"/>
    </row>
    <row r="7" spans="2:22" ht="15">
      <c r="B7" s="296"/>
      <c r="C7" s="296"/>
      <c r="D7" s="296"/>
      <c r="E7" s="101" t="s">
        <v>139</v>
      </c>
      <c r="F7" s="101" t="s">
        <v>140</v>
      </c>
      <c r="G7" s="101" t="s">
        <v>141</v>
      </c>
      <c r="H7" s="101" t="s">
        <v>142</v>
      </c>
      <c r="I7" s="101" t="s">
        <v>143</v>
      </c>
      <c r="J7" s="101" t="s">
        <v>144</v>
      </c>
      <c r="K7" s="101" t="s">
        <v>145</v>
      </c>
      <c r="L7" s="101" t="s">
        <v>146</v>
      </c>
      <c r="M7" s="101" t="s">
        <v>147</v>
      </c>
      <c r="N7" s="101" t="s">
        <v>148</v>
      </c>
      <c r="O7" s="101" t="s">
        <v>149</v>
      </c>
      <c r="P7" s="101" t="s">
        <v>150</v>
      </c>
      <c r="Q7" s="101" t="s">
        <v>139</v>
      </c>
      <c r="R7" s="101" t="s">
        <v>140</v>
      </c>
      <c r="S7" s="101" t="s">
        <v>141</v>
      </c>
      <c r="T7" s="101" t="s">
        <v>142</v>
      </c>
      <c r="U7" s="101" t="s">
        <v>143</v>
      </c>
      <c r="V7" s="101" t="s">
        <v>144</v>
      </c>
    </row>
    <row r="8" spans="2:22" ht="15">
      <c r="B8" s="101" t="s">
        <v>65</v>
      </c>
      <c r="C8" s="103" t="s">
        <v>298</v>
      </c>
      <c r="E8" s="28"/>
      <c r="F8" s="28"/>
      <c r="G8" s="28"/>
      <c r="H8" s="28"/>
      <c r="I8" s="28"/>
      <c r="J8" s="28"/>
      <c r="K8" s="28"/>
      <c r="L8" s="28"/>
      <c r="M8" s="28"/>
      <c r="N8" s="28"/>
      <c r="O8" s="28"/>
      <c r="P8" s="28"/>
      <c r="Q8" s="28"/>
      <c r="R8" s="28"/>
      <c r="S8" s="28"/>
      <c r="T8" s="28"/>
      <c r="U8" s="28"/>
      <c r="V8" s="28"/>
    </row>
    <row r="9" spans="2:22">
      <c r="B9" s="102">
        <v>1</v>
      </c>
      <c r="C9" s="28" t="s">
        <v>299</v>
      </c>
      <c r="D9" s="205" t="s">
        <v>301</v>
      </c>
      <c r="E9" s="187">
        <v>70912.065000000526</v>
      </c>
      <c r="F9" s="187">
        <v>68178.945000000531</v>
      </c>
      <c r="G9" s="187">
        <v>105140.33500000054</v>
      </c>
      <c r="H9" s="187">
        <v>89559.995000000534</v>
      </c>
      <c r="I9" s="187">
        <v>3366.0950000005541</v>
      </c>
      <c r="J9" s="187">
        <v>4115.5950000005541</v>
      </c>
      <c r="K9" s="187">
        <v>32818.815000000555</v>
      </c>
      <c r="L9" s="187">
        <v>63011.245000000577</v>
      </c>
      <c r="M9" s="187">
        <v>125044.4550000006</v>
      </c>
      <c r="N9" s="187">
        <v>75357.995000000592</v>
      </c>
      <c r="O9" s="187">
        <v>35317.095000000554</v>
      </c>
      <c r="P9" s="187">
        <v>18950.045000000566</v>
      </c>
      <c r="Q9" s="187">
        <v>24302.645000000542</v>
      </c>
      <c r="R9" s="187">
        <v>34995.845000000554</v>
      </c>
      <c r="S9" s="187">
        <v>44321.845000000554</v>
      </c>
      <c r="T9" s="187">
        <v>45096.735000000568</v>
      </c>
      <c r="U9" s="187">
        <v>66736.005000000587</v>
      </c>
      <c r="V9" s="187">
        <v>90400.555000000575</v>
      </c>
    </row>
    <row r="10" spans="2:22">
      <c r="B10" s="102">
        <f>B9+1</f>
        <v>2</v>
      </c>
      <c r="C10" s="28" t="s">
        <v>300</v>
      </c>
      <c r="D10" s="206" t="s">
        <v>437</v>
      </c>
      <c r="E10" s="186">
        <v>35.936625763257538</v>
      </c>
      <c r="F10" s="186">
        <v>36.95462417302398</v>
      </c>
      <c r="G10" s="186">
        <v>61.701424000618815</v>
      </c>
      <c r="H10" s="186">
        <v>59.30676677718904</v>
      </c>
      <c r="I10" s="186">
        <v>1.9707271451482062</v>
      </c>
      <c r="J10" s="186">
        <v>2.2197174084387412</v>
      </c>
      <c r="K10" s="186">
        <v>15.947353172763119</v>
      </c>
      <c r="L10" s="186">
        <v>35.28748766454305</v>
      </c>
      <c r="M10" s="186">
        <v>76.542918079264538</v>
      </c>
      <c r="N10" s="186">
        <v>45.802837854764007</v>
      </c>
      <c r="O10" s="186">
        <v>20.158457852057325</v>
      </c>
      <c r="P10" s="186">
        <v>9.9624634562570389</v>
      </c>
      <c r="Q10" s="186">
        <v>13.101892088165565</v>
      </c>
      <c r="R10" s="186">
        <v>19.91692067250176</v>
      </c>
      <c r="S10" s="186">
        <v>26.187110971882579</v>
      </c>
      <c r="T10" s="186">
        <v>26.557035180437104</v>
      </c>
      <c r="U10" s="186">
        <v>38.840465465554288</v>
      </c>
      <c r="V10" s="186">
        <v>52.35187982083692</v>
      </c>
    </row>
    <row r="11" spans="2:22" ht="15">
      <c r="B11" s="101" t="s">
        <v>69</v>
      </c>
      <c r="C11" s="103" t="s">
        <v>302</v>
      </c>
      <c r="D11" s="205"/>
      <c r="E11" s="187"/>
      <c r="F11" s="187"/>
      <c r="G11" s="187"/>
      <c r="H11" s="187"/>
      <c r="I11" s="187"/>
      <c r="J11" s="187"/>
      <c r="K11" s="185"/>
      <c r="L11" s="185"/>
      <c r="M11" s="185"/>
      <c r="N11" s="185"/>
      <c r="O11" s="185"/>
      <c r="P11" s="185"/>
      <c r="Q11" s="185"/>
      <c r="R11" s="185"/>
      <c r="S11" s="185"/>
      <c r="T11" s="185"/>
      <c r="U11" s="185"/>
      <c r="V11" s="185"/>
    </row>
    <row r="12" spans="2:22">
      <c r="B12" s="102">
        <f>B10+1</f>
        <v>3</v>
      </c>
      <c r="C12" s="28" t="s">
        <v>303</v>
      </c>
      <c r="D12" s="205" t="s">
        <v>301</v>
      </c>
      <c r="E12" s="187">
        <v>183230.3</v>
      </c>
      <c r="F12" s="187">
        <v>206812.04</v>
      </c>
      <c r="G12" s="187">
        <v>146239.92000000001</v>
      </c>
      <c r="H12" s="187">
        <v>103665.06</v>
      </c>
      <c r="I12" s="187">
        <v>178714.36</v>
      </c>
      <c r="J12" s="187">
        <v>212963.20000000001</v>
      </c>
      <c r="K12" s="187">
        <v>210972.40000000002</v>
      </c>
      <c r="L12" s="187">
        <v>146230.18</v>
      </c>
      <c r="M12" s="187">
        <v>82361.08</v>
      </c>
      <c r="N12" s="187">
        <v>125925.59999999998</v>
      </c>
      <c r="O12" s="187">
        <v>152398.40000000002</v>
      </c>
      <c r="P12" s="187">
        <v>171770.42</v>
      </c>
      <c r="Q12" s="187">
        <v>183880.7</v>
      </c>
      <c r="R12" s="187">
        <v>170971.78000000003</v>
      </c>
      <c r="S12" s="187">
        <v>151864.18000000002</v>
      </c>
      <c r="T12" s="187">
        <v>181441.95999999996</v>
      </c>
      <c r="U12" s="187">
        <v>183922.24</v>
      </c>
      <c r="V12" s="187">
        <v>143811.15999999997</v>
      </c>
    </row>
    <row r="13" spans="2:22">
      <c r="B13" s="102">
        <f>B12+1</f>
        <v>4</v>
      </c>
      <c r="C13" s="28" t="s">
        <v>391</v>
      </c>
      <c r="D13" s="205" t="s">
        <v>301</v>
      </c>
      <c r="E13" s="187"/>
      <c r="F13" s="187"/>
      <c r="G13" s="187"/>
      <c r="H13" s="187"/>
      <c r="I13" s="187"/>
      <c r="J13" s="187"/>
      <c r="K13" s="185"/>
      <c r="L13" s="185"/>
      <c r="M13" s="185"/>
      <c r="N13" s="185"/>
      <c r="O13" s="185"/>
      <c r="P13" s="185"/>
      <c r="Q13" s="185"/>
      <c r="R13" s="185"/>
      <c r="S13" s="185"/>
      <c r="T13" s="185"/>
      <c r="U13" s="185"/>
      <c r="V13" s="185"/>
    </row>
    <row r="14" spans="2:22" ht="15">
      <c r="B14" s="102">
        <f>B13+1</f>
        <v>5</v>
      </c>
      <c r="C14" s="28" t="s">
        <v>304</v>
      </c>
      <c r="D14" s="205" t="s">
        <v>301</v>
      </c>
      <c r="E14" s="127">
        <f>E12+E13</f>
        <v>183230.3</v>
      </c>
      <c r="F14" s="127">
        <f t="shared" ref="F14:V14" si="0">F12+F13</f>
        <v>206812.04</v>
      </c>
      <c r="G14" s="127">
        <f t="shared" si="0"/>
        <v>146239.92000000001</v>
      </c>
      <c r="H14" s="127">
        <f t="shared" si="0"/>
        <v>103665.06</v>
      </c>
      <c r="I14" s="127">
        <f t="shared" si="0"/>
        <v>178714.36</v>
      </c>
      <c r="J14" s="127">
        <f t="shared" si="0"/>
        <v>212963.20000000001</v>
      </c>
      <c r="K14" s="127">
        <f t="shared" si="0"/>
        <v>210972.40000000002</v>
      </c>
      <c r="L14" s="127">
        <f t="shared" si="0"/>
        <v>146230.18</v>
      </c>
      <c r="M14" s="127">
        <f t="shared" si="0"/>
        <v>82361.08</v>
      </c>
      <c r="N14" s="127">
        <f t="shared" si="0"/>
        <v>125925.59999999998</v>
      </c>
      <c r="O14" s="127">
        <f t="shared" si="0"/>
        <v>152398.40000000002</v>
      </c>
      <c r="P14" s="127">
        <f t="shared" si="0"/>
        <v>171770.42</v>
      </c>
      <c r="Q14" s="127">
        <f t="shared" si="0"/>
        <v>183880.7</v>
      </c>
      <c r="R14" s="127">
        <f t="shared" si="0"/>
        <v>170971.78000000003</v>
      </c>
      <c r="S14" s="127">
        <f t="shared" si="0"/>
        <v>151864.18000000002</v>
      </c>
      <c r="T14" s="127">
        <f t="shared" si="0"/>
        <v>181441.95999999996</v>
      </c>
      <c r="U14" s="127">
        <f t="shared" si="0"/>
        <v>183922.24</v>
      </c>
      <c r="V14" s="127">
        <f t="shared" si="0"/>
        <v>143811.15999999997</v>
      </c>
    </row>
    <row r="15" spans="2:22">
      <c r="B15" s="102">
        <f>B14+1</f>
        <v>6</v>
      </c>
      <c r="C15" s="28" t="s">
        <v>305</v>
      </c>
      <c r="D15" s="205" t="s">
        <v>301</v>
      </c>
      <c r="E15" s="200">
        <v>1465.8423999999941</v>
      </c>
      <c r="F15" s="200">
        <v>1654.4963200000057</v>
      </c>
      <c r="G15" s="200">
        <v>1169.9193599999999</v>
      </c>
      <c r="H15" s="200">
        <v>829.32047999999486</v>
      </c>
      <c r="I15" s="200">
        <v>1429.7148800000141</v>
      </c>
      <c r="J15" s="200">
        <v>1703.7056000000157</v>
      </c>
      <c r="K15" s="200">
        <v>1687.7791999999899</v>
      </c>
      <c r="L15" s="200">
        <v>1169.8414399999892</v>
      </c>
      <c r="M15" s="200">
        <v>658.88864000000467</v>
      </c>
      <c r="N15" s="200">
        <v>1007.4048000000039</v>
      </c>
      <c r="O15" s="200">
        <v>1219.1872000000149</v>
      </c>
      <c r="P15" s="200">
        <v>1374.1633600000059</v>
      </c>
      <c r="Q15" s="200">
        <v>1471.0456000000122</v>
      </c>
      <c r="R15" s="200">
        <v>1367.7742399999988</v>
      </c>
      <c r="S15" s="200">
        <v>1214.9134400000039</v>
      </c>
      <c r="T15" s="200">
        <v>1451.5356800000009</v>
      </c>
      <c r="U15" s="200">
        <v>1471.377919999999</v>
      </c>
      <c r="V15" s="200">
        <v>1150.4892800000089</v>
      </c>
    </row>
    <row r="16" spans="2:22" ht="15">
      <c r="B16" s="102">
        <f>B15+1</f>
        <v>7</v>
      </c>
      <c r="C16" s="28" t="s">
        <v>306</v>
      </c>
      <c r="D16" s="205" t="s">
        <v>301</v>
      </c>
      <c r="E16" s="127">
        <f>E14-E15</f>
        <v>181764.45759999999</v>
      </c>
      <c r="F16" s="127">
        <f t="shared" ref="F16:V16" si="1">F14-F15</f>
        <v>205157.54368</v>
      </c>
      <c r="G16" s="127">
        <f t="shared" si="1"/>
        <v>145070.00064000001</v>
      </c>
      <c r="H16" s="127">
        <f t="shared" si="1"/>
        <v>102835.73952</v>
      </c>
      <c r="I16" s="127">
        <f t="shared" si="1"/>
        <v>177284.64511999997</v>
      </c>
      <c r="J16" s="127">
        <f t="shared" si="1"/>
        <v>211259.4944</v>
      </c>
      <c r="K16" s="127">
        <f t="shared" si="1"/>
        <v>209284.62080000003</v>
      </c>
      <c r="L16" s="127">
        <f t="shared" si="1"/>
        <v>145060.33856</v>
      </c>
      <c r="M16" s="127">
        <f t="shared" si="1"/>
        <v>81702.191359999997</v>
      </c>
      <c r="N16" s="127">
        <f t="shared" si="1"/>
        <v>124918.19519999997</v>
      </c>
      <c r="O16" s="127">
        <f t="shared" si="1"/>
        <v>151179.21280000001</v>
      </c>
      <c r="P16" s="127">
        <f t="shared" si="1"/>
        <v>170396.25664000001</v>
      </c>
      <c r="Q16" s="127">
        <f t="shared" si="1"/>
        <v>182409.6544</v>
      </c>
      <c r="R16" s="127">
        <f t="shared" si="1"/>
        <v>169604.00576000003</v>
      </c>
      <c r="S16" s="127">
        <f t="shared" si="1"/>
        <v>150649.26656000002</v>
      </c>
      <c r="T16" s="127">
        <f t="shared" si="1"/>
        <v>179990.42431999996</v>
      </c>
      <c r="U16" s="127">
        <f t="shared" si="1"/>
        <v>182450.86207999999</v>
      </c>
      <c r="V16" s="127">
        <f t="shared" si="1"/>
        <v>142660.67071999997</v>
      </c>
    </row>
    <row r="17" spans="2:22" ht="15">
      <c r="B17" s="101" t="s">
        <v>70</v>
      </c>
      <c r="C17" s="103" t="s">
        <v>307</v>
      </c>
      <c r="D17" s="205"/>
      <c r="E17" s="28"/>
      <c r="F17" s="28"/>
      <c r="G17" s="28"/>
      <c r="H17" s="28"/>
      <c r="I17" s="28"/>
      <c r="J17" s="28"/>
      <c r="K17" s="28"/>
      <c r="L17" s="28"/>
      <c r="M17" s="28"/>
      <c r="N17" s="28"/>
      <c r="O17" s="28"/>
      <c r="P17" s="28"/>
      <c r="Q17" s="28"/>
      <c r="R17" s="28"/>
      <c r="S17" s="28"/>
      <c r="T17" s="28"/>
      <c r="U17" s="28"/>
      <c r="V17" s="28"/>
    </row>
    <row r="18" spans="2:22">
      <c r="B18" s="102">
        <f>B16+1</f>
        <v>8</v>
      </c>
      <c r="C18" s="28" t="s">
        <v>308</v>
      </c>
      <c r="D18" s="206" t="s">
        <v>437</v>
      </c>
      <c r="E18" s="204">
        <v>101.00984547099999</v>
      </c>
      <c r="F18" s="204">
        <v>130.59086221299998</v>
      </c>
      <c r="G18" s="204">
        <v>103.05863429299998</v>
      </c>
      <c r="H18" s="204">
        <v>54.290781454999994</v>
      </c>
      <c r="I18" s="204">
        <v>96.121504016500012</v>
      </c>
      <c r="J18" s="204">
        <v>103.40418950999999</v>
      </c>
      <c r="K18" s="204">
        <v>119.500602656</v>
      </c>
      <c r="L18" s="204">
        <v>91.599624034999991</v>
      </c>
      <c r="M18" s="204">
        <v>48.797000099999998</v>
      </c>
      <c r="N18" s="204">
        <v>73.873654219999992</v>
      </c>
      <c r="O18" s="204">
        <v>76.916133729000009</v>
      </c>
      <c r="P18" s="204">
        <v>96.073111791499997</v>
      </c>
      <c r="Q18" s="204">
        <v>102.575471952</v>
      </c>
      <c r="R18" s="204">
        <v>98.117333551000002</v>
      </c>
      <c r="S18" s="204">
        <v>87.892857813999996</v>
      </c>
      <c r="T18" s="204">
        <v>100.661543893</v>
      </c>
      <c r="U18" s="204">
        <v>107.68098953700002</v>
      </c>
      <c r="V18" s="204">
        <v>69.941611050000006</v>
      </c>
    </row>
    <row r="19" spans="2:22">
      <c r="B19" s="102">
        <f>B18+1</f>
        <v>9</v>
      </c>
      <c r="C19" s="28" t="s">
        <v>309</v>
      </c>
      <c r="D19" s="206" t="s">
        <v>437</v>
      </c>
      <c r="E19" s="204">
        <v>-7.8274678823375989</v>
      </c>
      <c r="F19" s="204">
        <v>-13.597116775936801</v>
      </c>
      <c r="G19" s="204">
        <v>-3.1450418490959993</v>
      </c>
      <c r="H19" s="204">
        <v>-3.8114941880636</v>
      </c>
      <c r="I19" s="204">
        <v>-8.5516524405060004</v>
      </c>
      <c r="J19" s="204">
        <v>-9.1441364288311995</v>
      </c>
      <c r="K19" s="204">
        <v>-7.8233168186463979</v>
      </c>
      <c r="L19" s="204">
        <v>-3.2134731556111999</v>
      </c>
      <c r="M19" s="204">
        <v>-3.0138636780631995</v>
      </c>
      <c r="N19" s="204">
        <v>-10.25870520606</v>
      </c>
      <c r="O19" s="204">
        <v>-3.1863284265959995</v>
      </c>
      <c r="P19" s="204">
        <v>-9.7594177642749997</v>
      </c>
      <c r="Q19" s="204">
        <v>-3.4634065121736</v>
      </c>
      <c r="R19" s="204">
        <v>-2.3685408177584009</v>
      </c>
      <c r="S19" s="204">
        <v>-3.4550424599207998</v>
      </c>
      <c r="T19" s="204">
        <v>-1.7129758446879984</v>
      </c>
      <c r="U19" s="204">
        <v>-10.1926915731568</v>
      </c>
      <c r="V19" s="204">
        <v>-5.5738326979416</v>
      </c>
    </row>
    <row r="20" spans="2:22">
      <c r="B20" s="102">
        <f>B19+1</f>
        <v>10</v>
      </c>
      <c r="C20" s="28" t="s">
        <v>310</v>
      </c>
      <c r="D20" s="206" t="s">
        <v>437</v>
      </c>
      <c r="E20" s="204">
        <v>0.126694423</v>
      </c>
      <c r="F20" s="204">
        <v>0.150189196</v>
      </c>
      <c r="G20" s="204">
        <v>0.144237846</v>
      </c>
      <c r="H20" s="204">
        <v>0.25802897000000002</v>
      </c>
      <c r="I20" s="204">
        <v>0.42565639100000002</v>
      </c>
      <c r="J20" s="204">
        <v>0.36912437300000001</v>
      </c>
      <c r="K20" s="204">
        <v>0.22801459500000001</v>
      </c>
      <c r="L20" s="204">
        <v>0.17881946099999999</v>
      </c>
      <c r="M20" s="204">
        <v>0.13679150200000001</v>
      </c>
      <c r="N20" s="204">
        <v>0.25707372299999998</v>
      </c>
      <c r="O20" s="204">
        <v>0.147888718</v>
      </c>
      <c r="P20" s="204">
        <v>0.54283555880000001</v>
      </c>
      <c r="Q20" s="204">
        <v>0.13786110200000001</v>
      </c>
      <c r="R20" s="204">
        <v>0.159787604</v>
      </c>
      <c r="S20" s="204">
        <v>0.18562933599999998</v>
      </c>
      <c r="T20" s="204">
        <v>0.16734934900000001</v>
      </c>
      <c r="U20" s="204">
        <v>0.25061467100000001</v>
      </c>
      <c r="V20" s="204">
        <v>0.163283495</v>
      </c>
    </row>
    <row r="21" spans="2:22" ht="15">
      <c r="B21" s="102">
        <f>B20+1</f>
        <v>11</v>
      </c>
      <c r="C21" s="28" t="s">
        <v>311</v>
      </c>
      <c r="D21" s="206" t="s">
        <v>437</v>
      </c>
      <c r="E21" s="128">
        <f>E18+E19+E20</f>
        <v>93.309072011662394</v>
      </c>
      <c r="F21" s="128">
        <f t="shared" ref="F21:V21" si="2">F18+F19+F20</f>
        <v>117.14393463306318</v>
      </c>
      <c r="G21" s="128">
        <f t="shared" si="2"/>
        <v>100.05783028990398</v>
      </c>
      <c r="H21" s="128">
        <f t="shared" si="2"/>
        <v>50.737316236936394</v>
      </c>
      <c r="I21" s="128">
        <f t="shared" si="2"/>
        <v>87.995507966994012</v>
      </c>
      <c r="J21" s="128">
        <f t="shared" si="2"/>
        <v>94.629177454168797</v>
      </c>
      <c r="K21" s="128">
        <f t="shared" si="2"/>
        <v>111.9053004323536</v>
      </c>
      <c r="L21" s="128">
        <f t="shared" si="2"/>
        <v>88.564970340388797</v>
      </c>
      <c r="M21" s="128">
        <f t="shared" si="2"/>
        <v>45.919927923936797</v>
      </c>
      <c r="N21" s="128">
        <f t="shared" si="2"/>
        <v>63.872022736939989</v>
      </c>
      <c r="O21" s="128">
        <f t="shared" si="2"/>
        <v>73.877694020404007</v>
      </c>
      <c r="P21" s="128">
        <f t="shared" si="2"/>
        <v>86.85652958602499</v>
      </c>
      <c r="Q21" s="128">
        <f t="shared" si="2"/>
        <v>99.249926541826397</v>
      </c>
      <c r="R21" s="128">
        <f t="shared" si="2"/>
        <v>95.908580337241602</v>
      </c>
      <c r="S21" s="128">
        <f t="shared" si="2"/>
        <v>84.623444690079197</v>
      </c>
      <c r="T21" s="128">
        <f t="shared" si="2"/>
        <v>99.115917397312003</v>
      </c>
      <c r="U21" s="128">
        <f t="shared" si="2"/>
        <v>97.738912634843217</v>
      </c>
      <c r="V21" s="128">
        <f t="shared" si="2"/>
        <v>64.53106184705841</v>
      </c>
    </row>
    <row r="22" spans="2:22" ht="15">
      <c r="B22" s="101" t="s">
        <v>312</v>
      </c>
      <c r="C22" s="103" t="s">
        <v>313</v>
      </c>
      <c r="D22" s="205"/>
      <c r="E22" s="28"/>
      <c r="F22" s="28"/>
      <c r="G22" s="28"/>
      <c r="H22" s="28"/>
      <c r="I22" s="28"/>
      <c r="J22" s="28"/>
      <c r="K22" s="28"/>
      <c r="L22" s="28"/>
      <c r="M22" s="28"/>
      <c r="N22" s="28"/>
      <c r="O22" s="28"/>
      <c r="P22" s="28"/>
      <c r="Q22" s="28"/>
      <c r="R22" s="28"/>
      <c r="S22" s="28"/>
      <c r="T22" s="28"/>
      <c r="U22" s="28"/>
      <c r="V22" s="28"/>
    </row>
    <row r="23" spans="2:22">
      <c r="B23" s="102">
        <f>B21+1</f>
        <v>12</v>
      </c>
      <c r="C23" s="28" t="s">
        <v>314</v>
      </c>
      <c r="D23" s="205"/>
      <c r="E23" s="28"/>
      <c r="F23" s="28"/>
      <c r="G23" s="28"/>
      <c r="H23" s="28"/>
      <c r="I23" s="28"/>
      <c r="J23" s="28"/>
      <c r="K23" s="28"/>
      <c r="L23" s="28"/>
      <c r="M23" s="28"/>
      <c r="N23" s="28"/>
      <c r="O23" s="28"/>
      <c r="P23" s="28"/>
      <c r="Q23" s="28"/>
      <c r="R23" s="28"/>
      <c r="S23" s="28"/>
      <c r="T23" s="28"/>
      <c r="U23" s="28"/>
      <c r="V23" s="28"/>
    </row>
    <row r="24" spans="2:22">
      <c r="B24" s="102"/>
      <c r="C24" s="28" t="s">
        <v>315</v>
      </c>
      <c r="D24" s="206" t="s">
        <v>437</v>
      </c>
      <c r="E24" s="204">
        <v>7.7110405557999995</v>
      </c>
      <c r="F24" s="204">
        <v>6.3084874800500002</v>
      </c>
      <c r="G24" s="204">
        <v>3.9304157574</v>
      </c>
      <c r="H24" s="204">
        <v>2.5966762719999998</v>
      </c>
      <c r="I24" s="204">
        <v>7.4664794022000001</v>
      </c>
      <c r="J24" s="204">
        <v>7.8063955638500007</v>
      </c>
      <c r="K24" s="204">
        <v>7.7298444765499994</v>
      </c>
      <c r="L24" s="204">
        <v>3.5134949679999998</v>
      </c>
      <c r="M24" s="204">
        <v>3.1984474035999999</v>
      </c>
      <c r="N24" s="204">
        <v>4.6397266901000007</v>
      </c>
      <c r="O24" s="204">
        <v>4.0091377922500007</v>
      </c>
      <c r="P24" s="204">
        <v>5.2602173227</v>
      </c>
      <c r="Q24" s="204">
        <v>5.292789442200001</v>
      </c>
      <c r="R24" s="204">
        <v>5.0602382162000001</v>
      </c>
      <c r="S24" s="204">
        <v>4.0060639640000009</v>
      </c>
      <c r="T24" s="204">
        <v>5.328147028200001</v>
      </c>
      <c r="U24" s="204">
        <v>7.7272682282999989</v>
      </c>
      <c r="V24" s="204">
        <v>3.6413544777500002</v>
      </c>
    </row>
    <row r="25" spans="2:22">
      <c r="B25" s="102"/>
      <c r="C25" s="28" t="s">
        <v>316</v>
      </c>
      <c r="D25" s="206" t="s">
        <v>437</v>
      </c>
      <c r="E25" s="28"/>
      <c r="F25" s="28"/>
      <c r="G25" s="28"/>
      <c r="H25" s="28"/>
      <c r="I25" s="28"/>
      <c r="J25" s="28"/>
      <c r="K25" s="28"/>
      <c r="L25" s="28"/>
      <c r="M25" s="28"/>
      <c r="N25" s="28"/>
      <c r="O25" s="28"/>
      <c r="P25" s="28"/>
      <c r="Q25" s="28"/>
      <c r="R25" s="28"/>
      <c r="S25" s="28"/>
      <c r="T25" s="28"/>
      <c r="U25" s="28"/>
      <c r="V25" s="28"/>
    </row>
    <row r="26" spans="2:22">
      <c r="B26" s="102"/>
      <c r="C26" s="28" t="s">
        <v>317</v>
      </c>
      <c r="D26" s="206" t="s">
        <v>437</v>
      </c>
      <c r="E26" s="28"/>
      <c r="F26" s="28"/>
      <c r="G26" s="28"/>
      <c r="H26" s="28"/>
      <c r="I26" s="28"/>
      <c r="J26" s="28"/>
      <c r="K26" s="28"/>
      <c r="L26" s="28"/>
      <c r="M26" s="28"/>
      <c r="N26" s="28"/>
      <c r="O26" s="28"/>
      <c r="P26" s="28"/>
      <c r="Q26" s="28"/>
      <c r="R26" s="28"/>
      <c r="S26" s="28"/>
      <c r="T26" s="28"/>
      <c r="U26" s="28"/>
      <c r="V26" s="28"/>
    </row>
    <row r="27" spans="2:22">
      <c r="B27" s="102"/>
      <c r="C27" s="28" t="s">
        <v>7</v>
      </c>
      <c r="D27" s="206" t="s">
        <v>437</v>
      </c>
      <c r="E27" s="28"/>
      <c r="F27" s="28"/>
      <c r="G27" s="28"/>
      <c r="H27" s="28"/>
      <c r="I27" s="28"/>
      <c r="J27" s="28"/>
      <c r="K27" s="28"/>
      <c r="L27" s="28"/>
      <c r="M27" s="28"/>
      <c r="N27" s="28"/>
      <c r="O27" s="28"/>
      <c r="P27" s="28"/>
      <c r="Q27" s="28"/>
      <c r="R27" s="28"/>
      <c r="S27" s="28"/>
      <c r="T27" s="28"/>
      <c r="U27" s="28"/>
      <c r="V27" s="28"/>
    </row>
    <row r="28" spans="2:22">
      <c r="B28" s="102">
        <f>B23+1</f>
        <v>13</v>
      </c>
      <c r="C28" s="28" t="s">
        <v>318</v>
      </c>
      <c r="D28" s="206" t="s">
        <v>437</v>
      </c>
      <c r="E28" s="28"/>
      <c r="F28" s="28"/>
      <c r="G28" s="28"/>
      <c r="H28" s="28"/>
      <c r="I28" s="28"/>
      <c r="J28" s="28"/>
      <c r="K28" s="28"/>
      <c r="L28" s="28"/>
      <c r="M28" s="28"/>
      <c r="N28" s="28"/>
      <c r="O28" s="28"/>
      <c r="P28" s="28"/>
      <c r="Q28" s="28"/>
      <c r="R28" s="28"/>
      <c r="S28" s="28"/>
      <c r="T28" s="28"/>
      <c r="U28" s="28"/>
      <c r="V28" s="28"/>
    </row>
    <row r="29" spans="2:22">
      <c r="B29" s="102">
        <f>B28+1</f>
        <v>14</v>
      </c>
      <c r="C29" s="28" t="s">
        <v>319</v>
      </c>
      <c r="D29" s="206" t="s">
        <v>437</v>
      </c>
      <c r="E29" s="28"/>
      <c r="F29" s="28"/>
      <c r="G29" s="28"/>
      <c r="H29" s="28"/>
      <c r="I29" s="28"/>
      <c r="J29" s="28"/>
      <c r="K29" s="28"/>
      <c r="L29" s="28"/>
      <c r="M29" s="28"/>
      <c r="N29" s="28"/>
      <c r="O29" s="28"/>
      <c r="P29" s="28"/>
      <c r="Q29" s="28"/>
      <c r="R29" s="28"/>
      <c r="S29" s="28"/>
      <c r="T29" s="28"/>
      <c r="U29" s="28"/>
      <c r="V29" s="28"/>
    </row>
    <row r="30" spans="2:22" ht="28.5">
      <c r="B30" s="102">
        <f>B29+1</f>
        <v>15</v>
      </c>
      <c r="C30" s="104" t="s">
        <v>388</v>
      </c>
      <c r="D30" s="206" t="s">
        <v>437</v>
      </c>
      <c r="E30" s="28"/>
      <c r="F30" s="28"/>
      <c r="G30" s="28"/>
      <c r="H30" s="28"/>
      <c r="I30" s="28"/>
      <c r="J30" s="28"/>
      <c r="K30" s="28"/>
      <c r="L30" s="28"/>
      <c r="M30" s="28"/>
      <c r="N30" s="28"/>
      <c r="O30" s="28"/>
      <c r="P30" s="28"/>
      <c r="Q30" s="28"/>
      <c r="R30" s="28"/>
      <c r="S30" s="28"/>
      <c r="T30" s="28"/>
      <c r="U30" s="28"/>
      <c r="V30" s="28"/>
    </row>
    <row r="31" spans="2:22">
      <c r="B31" s="102">
        <f>B30+1</f>
        <v>16</v>
      </c>
      <c r="C31" s="104" t="s">
        <v>320</v>
      </c>
      <c r="D31" s="206" t="s">
        <v>437</v>
      </c>
      <c r="E31" s="204">
        <v>7.7110405557999995</v>
      </c>
      <c r="F31" s="204">
        <v>6.3084874800500002</v>
      </c>
      <c r="G31" s="204">
        <v>3.9304157574</v>
      </c>
      <c r="H31" s="204">
        <v>2.5966762719999998</v>
      </c>
      <c r="I31" s="204">
        <v>7.4664794022000001</v>
      </c>
      <c r="J31" s="204">
        <v>7.8063955638500007</v>
      </c>
      <c r="K31" s="204">
        <v>7.7298444765499994</v>
      </c>
      <c r="L31" s="204">
        <v>3.5134949679999998</v>
      </c>
      <c r="M31" s="204">
        <v>3.1984474035999999</v>
      </c>
      <c r="N31" s="204">
        <v>4.6397266901000007</v>
      </c>
      <c r="O31" s="204">
        <v>4.0091377922500007</v>
      </c>
      <c r="P31" s="204">
        <v>5.2602173227</v>
      </c>
      <c r="Q31" s="204">
        <v>5.292789442200001</v>
      </c>
      <c r="R31" s="204">
        <v>5.0602382162000001</v>
      </c>
      <c r="S31" s="204">
        <v>4.0060639640000009</v>
      </c>
      <c r="T31" s="204">
        <v>5.328147028200001</v>
      </c>
      <c r="U31" s="204">
        <v>7.7272682282999989</v>
      </c>
      <c r="V31" s="204">
        <v>3.6413544777500002</v>
      </c>
    </row>
    <row r="32" spans="2:22" ht="28.5">
      <c r="B32" s="102">
        <f>B31+1</f>
        <v>17</v>
      </c>
      <c r="C32" s="104" t="s">
        <v>321</v>
      </c>
      <c r="D32" s="206" t="s">
        <v>437</v>
      </c>
      <c r="E32" s="128">
        <f>E21+E31</f>
        <v>101.02011256746239</v>
      </c>
      <c r="F32" s="128">
        <f t="shared" ref="F32:V32" si="3">F21+F31</f>
        <v>123.45242211311319</v>
      </c>
      <c r="G32" s="128">
        <f t="shared" si="3"/>
        <v>103.98824604730397</v>
      </c>
      <c r="H32" s="128">
        <f t="shared" si="3"/>
        <v>53.33399250893639</v>
      </c>
      <c r="I32" s="128">
        <f t="shared" si="3"/>
        <v>95.461987369194006</v>
      </c>
      <c r="J32" s="128">
        <f t="shared" si="3"/>
        <v>102.4355730180188</v>
      </c>
      <c r="K32" s="128">
        <f t="shared" si="3"/>
        <v>119.6351449089036</v>
      </c>
      <c r="L32" s="128">
        <f t="shared" si="3"/>
        <v>92.0784653083888</v>
      </c>
      <c r="M32" s="128">
        <f t="shared" si="3"/>
        <v>49.118375327536796</v>
      </c>
      <c r="N32" s="128">
        <f t="shared" si="3"/>
        <v>68.511749427039987</v>
      </c>
      <c r="O32" s="128">
        <f t="shared" si="3"/>
        <v>77.886831812654009</v>
      </c>
      <c r="P32" s="128">
        <f t="shared" si="3"/>
        <v>92.116746908724991</v>
      </c>
      <c r="Q32" s="128">
        <f t="shared" si="3"/>
        <v>104.5427159840264</v>
      </c>
      <c r="R32" s="128">
        <f t="shared" si="3"/>
        <v>100.96881855344161</v>
      </c>
      <c r="S32" s="128">
        <f t="shared" si="3"/>
        <v>88.629508654079203</v>
      </c>
      <c r="T32" s="128">
        <f t="shared" si="3"/>
        <v>104.44406442551201</v>
      </c>
      <c r="U32" s="128">
        <f t="shared" si="3"/>
        <v>105.46618086314322</v>
      </c>
      <c r="V32" s="128">
        <f t="shared" si="3"/>
        <v>68.17241632480841</v>
      </c>
    </row>
    <row r="33" spans="2:22" ht="15">
      <c r="B33" s="101" t="s">
        <v>322</v>
      </c>
      <c r="C33" s="103" t="s">
        <v>185</v>
      </c>
      <c r="D33" s="205"/>
      <c r="E33" s="28"/>
      <c r="F33" s="28"/>
      <c r="G33" s="28"/>
      <c r="H33" s="28"/>
      <c r="I33" s="28"/>
      <c r="J33" s="28"/>
      <c r="K33" s="28"/>
      <c r="L33" s="28"/>
      <c r="M33" s="28"/>
      <c r="N33" s="28"/>
      <c r="O33" s="28"/>
      <c r="P33" s="28"/>
      <c r="Q33" s="28"/>
      <c r="R33" s="28"/>
      <c r="S33" s="28"/>
      <c r="T33" s="28"/>
      <c r="U33" s="28"/>
      <c r="V33" s="28"/>
    </row>
    <row r="34" spans="2:22" ht="15">
      <c r="B34" s="102">
        <f>B32+1</f>
        <v>18</v>
      </c>
      <c r="C34" s="104" t="s">
        <v>323</v>
      </c>
      <c r="D34" s="205" t="s">
        <v>324</v>
      </c>
      <c r="E34" s="128">
        <f>IFERROR((E10+E32)/(E9+E16)*10000000,0)</f>
        <v>5420.2399542884814</v>
      </c>
      <c r="F34" s="128">
        <f t="shared" ref="F34:V34" si="4">IFERROR((F10+F32)/(F9+F16)*10000000,0)</f>
        <v>5868.4827284047069</v>
      </c>
      <c r="G34" s="128">
        <f t="shared" si="4"/>
        <v>6622.0154185123256</v>
      </c>
      <c r="H34" s="128">
        <f t="shared" si="4"/>
        <v>5854.6391149028232</v>
      </c>
      <c r="I34" s="128">
        <f t="shared" si="4"/>
        <v>5393.4301320670347</v>
      </c>
      <c r="J34" s="128">
        <f t="shared" si="4"/>
        <v>4859.2105390651213</v>
      </c>
      <c r="K34" s="128">
        <f t="shared" si="4"/>
        <v>5600.1889289035198</v>
      </c>
      <c r="L34" s="128">
        <f>IFERROR((L10+L32)/(L9+L16)*10000000,0)</f>
        <v>6121.2564826856315</v>
      </c>
      <c r="M34" s="128">
        <f t="shared" si="4"/>
        <v>6078.0329751028603</v>
      </c>
      <c r="N34" s="128">
        <f t="shared" si="4"/>
        <v>5707.8471069200359</v>
      </c>
      <c r="O34" s="128">
        <f>IFERROR((O10+O32)/(O9+O16)*10000000,0)</f>
        <v>5257.2241682047415</v>
      </c>
      <c r="P34" s="128">
        <f t="shared" si="4"/>
        <v>5391.138325958048</v>
      </c>
      <c r="Q34" s="128">
        <f>IFERROR((Q10+Q32)/(Q9+Q16)*10000000,0)</f>
        <v>5691.2243932105212</v>
      </c>
      <c r="R34" s="128">
        <f t="shared" si="4"/>
        <v>5908.3982112843569</v>
      </c>
      <c r="S34" s="128">
        <f>IFERROR((S10+S32)/(S9+S16)*10000000,0)</f>
        <v>5888.9041923848299</v>
      </c>
      <c r="T34" s="128">
        <f t="shared" si="4"/>
        <v>5820.0165661031015</v>
      </c>
      <c r="U34" s="128">
        <f>IFERROR((U10+U32)/(U9+U16)*10000000,0)</f>
        <v>5791.1015945462486</v>
      </c>
      <c r="V34" s="128">
        <f t="shared" si="4"/>
        <v>5171.3576882343814</v>
      </c>
    </row>
    <row r="35" spans="2:22">
      <c r="B35" s="102">
        <f>B34+1</f>
        <v>19</v>
      </c>
      <c r="C35" s="104" t="s">
        <v>325</v>
      </c>
      <c r="D35" s="205"/>
      <c r="E35" s="28"/>
      <c r="F35" s="28"/>
      <c r="G35" s="28"/>
      <c r="H35" s="28"/>
      <c r="I35" s="28"/>
      <c r="J35" s="28"/>
      <c r="K35" s="28"/>
      <c r="L35" s="28"/>
      <c r="M35" s="28"/>
      <c r="N35" s="28"/>
      <c r="O35" s="28"/>
      <c r="P35" s="28"/>
      <c r="Q35" s="28"/>
      <c r="R35" s="28"/>
      <c r="S35" s="28"/>
      <c r="T35" s="28"/>
      <c r="U35" s="28"/>
      <c r="V35" s="28"/>
    </row>
    <row r="36" spans="2:22">
      <c r="B36" s="102">
        <f>B35+1</f>
        <v>20</v>
      </c>
      <c r="C36" s="104" t="s">
        <v>326</v>
      </c>
      <c r="D36" s="205" t="s">
        <v>324</v>
      </c>
      <c r="E36" s="28"/>
      <c r="F36" s="28"/>
      <c r="G36" s="28"/>
      <c r="H36" s="28"/>
      <c r="I36" s="28"/>
      <c r="J36" s="28"/>
      <c r="K36" s="28"/>
      <c r="L36" s="28"/>
      <c r="M36" s="28"/>
      <c r="N36" s="28"/>
      <c r="O36" s="28"/>
      <c r="P36" s="28"/>
      <c r="Q36" s="28"/>
      <c r="R36" s="28"/>
      <c r="S36" s="28"/>
      <c r="T36" s="28"/>
      <c r="U36" s="28"/>
      <c r="V36" s="28"/>
    </row>
    <row r="37" spans="2:22" ht="15">
      <c r="B37" s="101" t="s">
        <v>327</v>
      </c>
      <c r="C37" s="103" t="s">
        <v>328</v>
      </c>
      <c r="D37" s="205"/>
      <c r="E37" s="28"/>
      <c r="F37" s="28"/>
      <c r="G37" s="28"/>
      <c r="H37" s="28"/>
      <c r="I37" s="28"/>
      <c r="J37" s="28"/>
      <c r="K37" s="28"/>
      <c r="L37" s="28"/>
      <c r="M37" s="28"/>
      <c r="N37" s="28"/>
      <c r="O37" s="28"/>
      <c r="P37" s="28"/>
      <c r="Q37" s="28"/>
      <c r="R37" s="28"/>
      <c r="S37" s="28"/>
      <c r="T37" s="28"/>
      <c r="U37" s="28"/>
      <c r="V37" s="28"/>
    </row>
    <row r="38" spans="2:22" ht="28.5">
      <c r="B38" s="102">
        <f>B36+1</f>
        <v>21</v>
      </c>
      <c r="C38" s="104" t="s">
        <v>387</v>
      </c>
      <c r="D38" s="205" t="s">
        <v>329</v>
      </c>
      <c r="E38" s="28"/>
      <c r="F38" s="28"/>
      <c r="G38" s="28"/>
      <c r="H38" s="28"/>
      <c r="I38" s="28"/>
      <c r="J38" s="28"/>
      <c r="K38" s="28"/>
      <c r="L38" s="28"/>
      <c r="M38" s="28"/>
      <c r="N38" s="28"/>
      <c r="O38" s="28"/>
      <c r="P38" s="28"/>
      <c r="Q38" s="28"/>
      <c r="R38" s="28"/>
      <c r="S38" s="28"/>
      <c r="T38" s="28"/>
      <c r="U38" s="28"/>
      <c r="V38" s="28"/>
    </row>
    <row r="39" spans="2:22" ht="28.5">
      <c r="B39" s="102">
        <f>B38+1</f>
        <v>22</v>
      </c>
      <c r="C39" s="104" t="s">
        <v>330</v>
      </c>
      <c r="D39" s="205" t="s">
        <v>329</v>
      </c>
      <c r="E39" s="28"/>
      <c r="F39" s="28"/>
      <c r="G39" s="28"/>
      <c r="H39" s="28"/>
      <c r="I39" s="28"/>
      <c r="J39" s="28"/>
      <c r="K39" s="28"/>
      <c r="L39" s="28"/>
      <c r="M39" s="28"/>
      <c r="N39" s="28"/>
      <c r="O39" s="28"/>
      <c r="P39" s="28"/>
      <c r="Q39" s="28"/>
      <c r="R39" s="28"/>
      <c r="S39" s="28"/>
      <c r="T39" s="28"/>
      <c r="U39" s="28"/>
      <c r="V39" s="28"/>
    </row>
    <row r="40" spans="2:22" ht="28.5">
      <c r="B40" s="102">
        <f t="shared" ref="B40:B47" si="5">B39+1</f>
        <v>23</v>
      </c>
      <c r="C40" s="104" t="s">
        <v>386</v>
      </c>
      <c r="D40" s="205" t="s">
        <v>329</v>
      </c>
      <c r="E40" s="28"/>
      <c r="F40" s="28"/>
      <c r="G40" s="28"/>
      <c r="H40" s="28"/>
      <c r="I40" s="28"/>
      <c r="J40" s="28"/>
      <c r="K40" s="28"/>
      <c r="L40" s="28"/>
      <c r="M40" s="28"/>
      <c r="N40" s="28"/>
      <c r="O40" s="28"/>
      <c r="P40" s="28"/>
      <c r="Q40" s="28"/>
      <c r="R40" s="28"/>
      <c r="S40" s="28"/>
      <c r="T40" s="28"/>
      <c r="U40" s="28"/>
      <c r="V40" s="28"/>
    </row>
    <row r="41" spans="2:22">
      <c r="B41" s="102">
        <f t="shared" si="5"/>
        <v>24</v>
      </c>
      <c r="C41" s="104" t="s">
        <v>331</v>
      </c>
      <c r="D41" s="205" t="s">
        <v>329</v>
      </c>
      <c r="E41" s="28"/>
      <c r="F41" s="28"/>
      <c r="G41" s="28"/>
      <c r="H41" s="28"/>
      <c r="I41" s="28"/>
      <c r="J41" s="28"/>
      <c r="K41" s="28"/>
      <c r="L41" s="28"/>
      <c r="M41" s="28"/>
      <c r="N41" s="28"/>
      <c r="O41" s="28"/>
      <c r="P41" s="28"/>
      <c r="Q41" s="28"/>
      <c r="R41" s="28"/>
      <c r="S41" s="28"/>
      <c r="T41" s="28"/>
      <c r="U41" s="28"/>
      <c r="V41" s="28"/>
    </row>
    <row r="42" spans="2:22">
      <c r="B42" s="102">
        <f t="shared" si="5"/>
        <v>25</v>
      </c>
      <c r="C42" s="104" t="s">
        <v>332</v>
      </c>
      <c r="D42" s="205" t="s">
        <v>329</v>
      </c>
      <c r="E42" s="220">
        <v>4311</v>
      </c>
      <c r="F42" s="220">
        <v>4826</v>
      </c>
      <c r="G42" s="220">
        <v>5108</v>
      </c>
      <c r="H42" s="221">
        <v>3733</v>
      </c>
      <c r="I42" s="221">
        <v>3690</v>
      </c>
      <c r="J42" s="221">
        <v>3724</v>
      </c>
      <c r="K42" s="220">
        <v>4244</v>
      </c>
      <c r="L42" s="220">
        <v>4450</v>
      </c>
      <c r="M42" s="220">
        <v>4265</v>
      </c>
      <c r="N42" s="220">
        <v>4462</v>
      </c>
      <c r="O42" s="220">
        <v>3863</v>
      </c>
      <c r="P42" s="220">
        <v>4034</v>
      </c>
      <c r="Q42" s="222">
        <v>4147</v>
      </c>
      <c r="R42" s="222">
        <v>4191</v>
      </c>
      <c r="S42" s="222">
        <v>4214</v>
      </c>
      <c r="T42" s="222">
        <v>4043</v>
      </c>
      <c r="U42" s="222">
        <v>4210</v>
      </c>
      <c r="V42" s="222">
        <v>3435</v>
      </c>
    </row>
    <row r="43" spans="2:22" ht="28.5">
      <c r="B43" s="102">
        <f t="shared" si="5"/>
        <v>26</v>
      </c>
      <c r="C43" s="104" t="s">
        <v>385</v>
      </c>
      <c r="D43" s="205" t="s">
        <v>329</v>
      </c>
      <c r="E43" s="28"/>
      <c r="F43" s="28"/>
      <c r="G43" s="28"/>
      <c r="H43" s="28"/>
      <c r="I43" s="28"/>
      <c r="J43" s="28"/>
      <c r="K43" s="28"/>
      <c r="L43" s="28"/>
      <c r="M43" s="28"/>
      <c r="N43" s="28"/>
      <c r="O43" s="28"/>
      <c r="P43" s="28"/>
      <c r="Q43" s="28"/>
      <c r="R43" s="28"/>
      <c r="S43" s="28"/>
      <c r="T43" s="28"/>
      <c r="U43" s="28"/>
      <c r="V43" s="28"/>
    </row>
    <row r="44" spans="2:22">
      <c r="B44" s="102">
        <f t="shared" si="5"/>
        <v>27</v>
      </c>
      <c r="C44" s="104" t="s">
        <v>333</v>
      </c>
      <c r="D44" s="205" t="s">
        <v>329</v>
      </c>
      <c r="E44" s="28"/>
      <c r="F44" s="28"/>
      <c r="G44" s="28"/>
      <c r="H44" s="28"/>
      <c r="I44" s="28"/>
      <c r="J44" s="28"/>
      <c r="K44" s="28"/>
      <c r="L44" s="28"/>
      <c r="M44" s="28"/>
      <c r="N44" s="28"/>
      <c r="O44" s="28"/>
      <c r="P44" s="28"/>
      <c r="Q44" s="28"/>
      <c r="R44" s="28"/>
      <c r="S44" s="28"/>
      <c r="T44" s="28"/>
      <c r="U44" s="28"/>
      <c r="V44" s="28"/>
    </row>
    <row r="45" spans="2:22" ht="28.5">
      <c r="B45" s="102">
        <f t="shared" si="5"/>
        <v>28</v>
      </c>
      <c r="C45" s="104" t="s">
        <v>334</v>
      </c>
      <c r="D45" s="205" t="s">
        <v>329</v>
      </c>
      <c r="E45" s="28"/>
      <c r="F45" s="28"/>
      <c r="G45" s="28"/>
      <c r="H45" s="28"/>
      <c r="I45" s="28"/>
      <c r="J45" s="28"/>
      <c r="K45" s="28"/>
      <c r="L45" s="28"/>
      <c r="M45" s="28"/>
      <c r="N45" s="28"/>
      <c r="O45" s="28"/>
      <c r="P45" s="28"/>
      <c r="Q45" s="28"/>
      <c r="R45" s="28"/>
      <c r="S45" s="28"/>
      <c r="T45" s="28"/>
      <c r="U45" s="28"/>
      <c r="V45" s="28"/>
    </row>
    <row r="46" spans="2:22" ht="28.5">
      <c r="B46" s="102">
        <f t="shared" si="5"/>
        <v>29</v>
      </c>
      <c r="C46" s="104" t="s">
        <v>334</v>
      </c>
      <c r="D46" s="205" t="s">
        <v>329</v>
      </c>
      <c r="E46" s="28"/>
      <c r="F46" s="28"/>
      <c r="G46" s="28"/>
      <c r="H46" s="28"/>
      <c r="I46" s="28"/>
      <c r="J46" s="28"/>
      <c r="K46" s="28"/>
      <c r="L46" s="28"/>
      <c r="M46" s="28"/>
      <c r="N46" s="28"/>
      <c r="O46" s="28"/>
      <c r="P46" s="28"/>
      <c r="Q46" s="28"/>
      <c r="R46" s="28"/>
      <c r="S46" s="28"/>
      <c r="T46" s="28"/>
      <c r="U46" s="28"/>
      <c r="V46" s="28"/>
    </row>
    <row r="47" spans="2:22">
      <c r="B47" s="102">
        <f t="shared" si="5"/>
        <v>30</v>
      </c>
      <c r="C47" s="104" t="s">
        <v>335</v>
      </c>
      <c r="D47" s="205" t="s">
        <v>329</v>
      </c>
      <c r="E47" s="221">
        <v>3756</v>
      </c>
      <c r="F47" s="221">
        <v>4365</v>
      </c>
      <c r="G47" s="221">
        <v>4270</v>
      </c>
      <c r="H47" s="221">
        <v>3798</v>
      </c>
      <c r="I47" s="221">
        <v>3577</v>
      </c>
      <c r="J47" s="221">
        <v>3337</v>
      </c>
      <c r="K47" s="221">
        <v>3987</v>
      </c>
      <c r="L47" s="221">
        <v>4254</v>
      </c>
      <c r="M47" s="221">
        <v>3996</v>
      </c>
      <c r="N47" s="221">
        <v>3913</v>
      </c>
      <c r="O47" s="221">
        <v>3829</v>
      </c>
      <c r="P47" s="221">
        <v>3627</v>
      </c>
      <c r="Q47" s="224">
        <v>3594</v>
      </c>
      <c r="R47" s="224">
        <v>3752</v>
      </c>
      <c r="S47" s="224">
        <v>3575</v>
      </c>
      <c r="T47" s="224">
        <v>3588</v>
      </c>
      <c r="U47" s="224">
        <v>3342</v>
      </c>
      <c r="V47" s="224">
        <v>3048</v>
      </c>
    </row>
    <row r="49" spans="2:3" ht="15">
      <c r="B49" s="100" t="s">
        <v>235</v>
      </c>
    </row>
    <row r="50" spans="2:3">
      <c r="B50" s="99">
        <v>1</v>
      </c>
      <c r="C50" s="98" t="s">
        <v>336</v>
      </c>
    </row>
    <row r="51" spans="2:3">
      <c r="B51" s="99">
        <f>B50+1</f>
        <v>2</v>
      </c>
      <c r="C51" s="98" t="s">
        <v>337</v>
      </c>
    </row>
    <row r="52" spans="2:3">
      <c r="B52" s="99">
        <f>B51+1</f>
        <v>3</v>
      </c>
      <c r="C52" s="98" t="s">
        <v>338</v>
      </c>
    </row>
    <row r="53" spans="2:3">
      <c r="B53" s="99">
        <f>B52+1</f>
        <v>4</v>
      </c>
      <c r="C53" s="98" t="s">
        <v>339</v>
      </c>
    </row>
  </sheetData>
  <mergeCells count="8">
    <mergeCell ref="B3:V3"/>
    <mergeCell ref="B2:V2"/>
    <mergeCell ref="B4:V4"/>
    <mergeCell ref="E6:P6"/>
    <mergeCell ref="Q6:V6"/>
    <mergeCell ref="B6:B7"/>
    <mergeCell ref="C6:C7"/>
    <mergeCell ref="D6:D7"/>
  </mergeCells>
  <phoneticPr fontId="14" type="noConversion"/>
  <pageMargins left="0.2" right="0.2" top="0.5" bottom="0.5" header="0.3" footer="0.3"/>
  <pageSetup paperSize="9" scale="53" orientation="landscape" r:id="rId1"/>
</worksheet>
</file>

<file path=xl/worksheets/sheet18.xml><?xml version="1.0" encoding="utf-8"?>
<worksheet xmlns="http://schemas.openxmlformats.org/spreadsheetml/2006/main" xmlns:r="http://schemas.openxmlformats.org/officeDocument/2006/relationships">
  <sheetPr>
    <pageSetUpPr fitToPage="1"/>
  </sheetPr>
  <dimension ref="B2:V53"/>
  <sheetViews>
    <sheetView view="pageBreakPreview" topLeftCell="A6" zoomScale="69" zoomScaleSheetLayoutView="69" workbookViewId="0">
      <selection activeCell="E33" sqref="E33"/>
    </sheetView>
  </sheetViews>
  <sheetFormatPr defaultRowHeight="12.75"/>
  <cols>
    <col min="2" max="2" width="8.85546875" customWidth="1"/>
    <col min="3" max="3" width="65.28515625" customWidth="1"/>
  </cols>
  <sheetData>
    <row r="2" spans="2:22" ht="16.5">
      <c r="B2" s="297" t="s">
        <v>434</v>
      </c>
      <c r="C2" s="297"/>
      <c r="D2" s="297"/>
      <c r="E2" s="297"/>
      <c r="F2" s="297"/>
      <c r="G2" s="297"/>
      <c r="H2" s="297"/>
      <c r="I2" s="297"/>
      <c r="J2" s="297"/>
      <c r="K2" s="297"/>
      <c r="L2" s="297"/>
      <c r="M2" s="297"/>
      <c r="N2" s="297"/>
      <c r="O2" s="297"/>
      <c r="P2" s="297"/>
      <c r="Q2" s="297"/>
      <c r="R2" s="297"/>
      <c r="S2" s="297"/>
      <c r="T2" s="297"/>
      <c r="U2" s="297"/>
      <c r="V2" s="297"/>
    </row>
    <row r="3" spans="2:22" ht="15">
      <c r="B3" s="249" t="s">
        <v>473</v>
      </c>
      <c r="C3" s="249"/>
      <c r="D3" s="249"/>
      <c r="E3" s="249"/>
      <c r="F3" s="249"/>
      <c r="G3" s="249"/>
      <c r="H3" s="249"/>
      <c r="I3" s="249"/>
      <c r="J3" s="249"/>
      <c r="K3" s="249"/>
      <c r="L3" s="249"/>
      <c r="M3" s="249"/>
      <c r="N3" s="249"/>
      <c r="O3" s="249"/>
      <c r="P3" s="249"/>
      <c r="Q3" s="249"/>
      <c r="R3" s="249"/>
      <c r="S3" s="249"/>
      <c r="T3" s="249"/>
      <c r="U3" s="249"/>
      <c r="V3" s="249"/>
    </row>
    <row r="4" spans="2:22" ht="16.5">
      <c r="B4" s="298" t="s">
        <v>474</v>
      </c>
      <c r="C4" s="298"/>
      <c r="D4" s="298"/>
      <c r="E4" s="298"/>
      <c r="F4" s="298"/>
      <c r="G4" s="298"/>
      <c r="H4" s="298"/>
      <c r="I4" s="298"/>
      <c r="J4" s="298"/>
      <c r="K4" s="298"/>
      <c r="L4" s="298"/>
      <c r="M4" s="298"/>
      <c r="N4" s="298"/>
      <c r="O4" s="298"/>
      <c r="P4" s="298"/>
      <c r="Q4" s="298"/>
      <c r="R4" s="298"/>
      <c r="S4" s="298"/>
      <c r="T4" s="298"/>
      <c r="U4" s="298"/>
      <c r="V4" s="298"/>
    </row>
    <row r="6" spans="2:22" ht="15">
      <c r="B6" s="296" t="s">
        <v>189</v>
      </c>
      <c r="C6" s="296" t="s">
        <v>16</v>
      </c>
      <c r="D6" s="296" t="s">
        <v>37</v>
      </c>
      <c r="E6" s="296" t="s">
        <v>398</v>
      </c>
      <c r="F6" s="296"/>
      <c r="G6" s="296"/>
      <c r="H6" s="296"/>
      <c r="I6" s="296"/>
      <c r="J6" s="296"/>
      <c r="K6" s="296"/>
      <c r="L6" s="296"/>
      <c r="M6" s="296"/>
      <c r="N6" s="296"/>
      <c r="O6" s="296"/>
      <c r="P6" s="296"/>
      <c r="Q6" s="296" t="s">
        <v>399</v>
      </c>
      <c r="R6" s="296"/>
      <c r="S6" s="296"/>
      <c r="T6" s="296"/>
      <c r="U6" s="296"/>
      <c r="V6" s="296"/>
    </row>
    <row r="7" spans="2:22" ht="15">
      <c r="B7" s="296"/>
      <c r="C7" s="296"/>
      <c r="D7" s="296"/>
      <c r="E7" s="101" t="s">
        <v>139</v>
      </c>
      <c r="F7" s="101" t="s">
        <v>140</v>
      </c>
      <c r="G7" s="101" t="s">
        <v>141</v>
      </c>
      <c r="H7" s="101" t="s">
        <v>142</v>
      </c>
      <c r="I7" s="101" t="s">
        <v>143</v>
      </c>
      <c r="J7" s="101" t="s">
        <v>144</v>
      </c>
      <c r="K7" s="101" t="s">
        <v>145</v>
      </c>
      <c r="L7" s="101" t="s">
        <v>146</v>
      </c>
      <c r="M7" s="101" t="s">
        <v>147</v>
      </c>
      <c r="N7" s="101" t="s">
        <v>148</v>
      </c>
      <c r="O7" s="101" t="s">
        <v>149</v>
      </c>
      <c r="P7" s="101" t="s">
        <v>150</v>
      </c>
      <c r="Q7" s="101" t="s">
        <v>139</v>
      </c>
      <c r="R7" s="101" t="s">
        <v>140</v>
      </c>
      <c r="S7" s="101" t="s">
        <v>141</v>
      </c>
      <c r="T7" s="101" t="s">
        <v>142</v>
      </c>
      <c r="U7" s="101" t="s">
        <v>143</v>
      </c>
      <c r="V7" s="101" t="s">
        <v>144</v>
      </c>
    </row>
    <row r="8" spans="2:22" ht="15">
      <c r="B8" s="101" t="s">
        <v>65</v>
      </c>
      <c r="C8" s="103" t="s">
        <v>298</v>
      </c>
      <c r="D8" s="102"/>
      <c r="E8" s="28"/>
      <c r="F8" s="28"/>
      <c r="G8" s="28"/>
      <c r="H8" s="28"/>
      <c r="I8" s="28"/>
      <c r="J8" s="28"/>
      <c r="K8" s="28"/>
      <c r="L8" s="28"/>
      <c r="M8" s="28"/>
      <c r="N8" s="28"/>
      <c r="O8" s="28"/>
      <c r="P8" s="28"/>
      <c r="Q8" s="28"/>
      <c r="R8" s="28"/>
      <c r="S8" s="28"/>
      <c r="T8" s="28"/>
      <c r="U8" s="28"/>
      <c r="V8" s="28"/>
    </row>
    <row r="9" spans="2:22" ht="14.25">
      <c r="B9" s="102">
        <v>1</v>
      </c>
      <c r="C9" s="28" t="s">
        <v>435</v>
      </c>
      <c r="D9" s="177" t="s">
        <v>436</v>
      </c>
      <c r="E9" s="200">
        <v>1509.74</v>
      </c>
      <c r="F9" s="200">
        <v>1623.1599999999999</v>
      </c>
      <c r="G9" s="200">
        <v>1636.4649999999999</v>
      </c>
      <c r="H9" s="200">
        <v>1619.895</v>
      </c>
      <c r="I9" s="200">
        <v>1461.623</v>
      </c>
      <c r="J9" s="200">
        <v>1993.9310000000003</v>
      </c>
      <c r="K9" s="174">
        <v>2033.9690000000003</v>
      </c>
      <c r="L9" s="174">
        <v>1895.3320000000003</v>
      </c>
      <c r="M9" s="174">
        <v>2025.2400000000005</v>
      </c>
      <c r="N9" s="174">
        <v>2043.6640000000009</v>
      </c>
      <c r="O9" s="174">
        <v>2098.1640000000007</v>
      </c>
      <c r="P9" s="174">
        <v>2088.7370000000005</v>
      </c>
      <c r="Q9" s="174">
        <v>2045.9220000000005</v>
      </c>
      <c r="R9" s="174">
        <v>1881.8240000000005</v>
      </c>
      <c r="S9" s="174">
        <v>2022.3860000000004</v>
      </c>
      <c r="T9" s="174">
        <v>1867.15</v>
      </c>
      <c r="U9" s="174">
        <v>1942.5280000000002</v>
      </c>
      <c r="V9" s="174">
        <v>1849.2890000000002</v>
      </c>
    </row>
    <row r="10" spans="2:22" ht="14.25">
      <c r="B10" s="102">
        <v>2</v>
      </c>
      <c r="C10" s="28" t="s">
        <v>300</v>
      </c>
      <c r="D10" s="177" t="s">
        <v>437</v>
      </c>
      <c r="E10" s="204">
        <v>9.7245682479794091</v>
      </c>
      <c r="F10" s="204">
        <v>10.411214579314539</v>
      </c>
      <c r="G10" s="204">
        <v>10.35212134212626</v>
      </c>
      <c r="H10" s="204">
        <v>10.245166741653044</v>
      </c>
      <c r="I10" s="204">
        <v>9.3416437450243137</v>
      </c>
      <c r="J10" s="204">
        <v>12.915014934794941</v>
      </c>
      <c r="K10" s="175">
        <v>13.459052392457208</v>
      </c>
      <c r="L10" s="175">
        <v>12.707538638559983</v>
      </c>
      <c r="M10" s="175">
        <v>13.633068711020067</v>
      </c>
      <c r="N10" s="175">
        <v>13.638373962044152</v>
      </c>
      <c r="O10" s="175">
        <v>14.072385948000004</v>
      </c>
      <c r="P10" s="175">
        <v>14.013199292268578</v>
      </c>
      <c r="Q10" s="175">
        <v>13.713292101087308</v>
      </c>
      <c r="R10" s="175">
        <v>12.668255917120563</v>
      </c>
      <c r="S10" s="175">
        <v>13.639971907842993</v>
      </c>
      <c r="T10" s="175">
        <v>12.663271679271945</v>
      </c>
      <c r="U10" s="175">
        <v>13.112535054009001</v>
      </c>
      <c r="V10" s="175">
        <v>12.450520708594439</v>
      </c>
    </row>
    <row r="11" spans="2:22" ht="15">
      <c r="B11" s="101" t="s">
        <v>69</v>
      </c>
      <c r="C11" s="103" t="s">
        <v>302</v>
      </c>
      <c r="D11" s="177"/>
      <c r="E11" s="207"/>
      <c r="F11" s="207"/>
      <c r="G11" s="207"/>
      <c r="H11" s="207"/>
      <c r="I11" s="207"/>
      <c r="J11" s="207"/>
      <c r="K11" s="176"/>
      <c r="L11" s="176"/>
      <c r="M11" s="176"/>
      <c r="N11" s="176"/>
      <c r="O11" s="176"/>
      <c r="P11" s="176"/>
      <c r="Q11" s="176"/>
      <c r="R11" s="176"/>
      <c r="S11" s="176"/>
      <c r="T11" s="176"/>
      <c r="U11" s="176"/>
      <c r="V11" s="176"/>
    </row>
    <row r="12" spans="2:22" ht="14.25">
      <c r="B12" s="102">
        <v>3</v>
      </c>
      <c r="C12" s="28" t="s">
        <v>438</v>
      </c>
      <c r="D12" s="177" t="s">
        <v>436</v>
      </c>
      <c r="E12" s="200">
        <v>224.09</v>
      </c>
      <c r="F12" s="200">
        <v>250.309</v>
      </c>
      <c r="G12" s="200">
        <v>0</v>
      </c>
      <c r="H12" s="200">
        <v>606.20399999999995</v>
      </c>
      <c r="I12" s="200">
        <v>722.71699999999987</v>
      </c>
      <c r="J12" s="200">
        <v>368.44499999999999</v>
      </c>
      <c r="K12" s="174">
        <v>395.45400000000001</v>
      </c>
      <c r="L12" s="174">
        <v>254.20600000000002</v>
      </c>
      <c r="M12" s="174">
        <v>238.61600000000001</v>
      </c>
      <c r="N12" s="174">
        <v>55</v>
      </c>
      <c r="O12" s="174">
        <v>0</v>
      </c>
      <c r="P12" s="174">
        <v>24.991</v>
      </c>
      <c r="Q12" s="174">
        <v>0</v>
      </c>
      <c r="R12" s="174">
        <v>202.72</v>
      </c>
      <c r="S12" s="174">
        <v>48.286999999999999</v>
      </c>
      <c r="T12" s="174">
        <v>192.81300000000002</v>
      </c>
      <c r="U12" s="174">
        <v>377.32100000000003</v>
      </c>
      <c r="V12" s="174">
        <v>130.69900000000001</v>
      </c>
    </row>
    <row r="13" spans="2:22" ht="14.25">
      <c r="B13" s="102">
        <v>4</v>
      </c>
      <c r="C13" s="28" t="s">
        <v>439</v>
      </c>
      <c r="D13" s="177" t="s">
        <v>436</v>
      </c>
      <c r="E13" s="207"/>
      <c r="F13" s="207"/>
      <c r="G13" s="207"/>
      <c r="H13" s="207"/>
      <c r="I13" s="207"/>
      <c r="J13" s="207"/>
      <c r="K13" s="176"/>
      <c r="L13" s="176"/>
      <c r="M13" s="176"/>
      <c r="N13" s="176"/>
      <c r="O13" s="176"/>
      <c r="P13" s="176"/>
      <c r="Q13" s="176"/>
      <c r="R13" s="176"/>
      <c r="S13" s="176"/>
      <c r="T13" s="176"/>
      <c r="U13" s="176"/>
      <c r="V13" s="176"/>
    </row>
    <row r="14" spans="2:22" ht="14.25">
      <c r="B14" s="102">
        <v>5</v>
      </c>
      <c r="C14" s="28" t="s">
        <v>440</v>
      </c>
      <c r="D14" s="177" t="s">
        <v>436</v>
      </c>
      <c r="E14" s="207"/>
      <c r="F14" s="207"/>
      <c r="G14" s="207"/>
      <c r="H14" s="207"/>
      <c r="I14" s="207"/>
      <c r="J14" s="207"/>
      <c r="K14" s="176"/>
      <c r="L14" s="176"/>
      <c r="M14" s="176"/>
      <c r="N14" s="176"/>
      <c r="O14" s="176"/>
      <c r="P14" s="176"/>
      <c r="Q14" s="176"/>
      <c r="R14" s="176"/>
      <c r="S14" s="176"/>
      <c r="T14" s="176"/>
      <c r="U14" s="176"/>
      <c r="V14" s="176"/>
    </row>
    <row r="15" spans="2:22" ht="14.25">
      <c r="B15" s="102">
        <v>6</v>
      </c>
      <c r="C15" s="28" t="s">
        <v>305</v>
      </c>
      <c r="D15" s="177" t="s">
        <v>436</v>
      </c>
      <c r="E15" s="207"/>
      <c r="F15" s="207"/>
      <c r="G15" s="207"/>
      <c r="H15" s="207"/>
      <c r="I15" s="207"/>
      <c r="J15" s="207"/>
      <c r="K15" s="176"/>
      <c r="L15" s="176"/>
      <c r="M15" s="176"/>
      <c r="N15" s="176"/>
      <c r="O15" s="176"/>
      <c r="P15" s="176"/>
      <c r="Q15" s="176"/>
      <c r="R15" s="176"/>
      <c r="S15" s="176"/>
      <c r="T15" s="176"/>
      <c r="U15" s="176"/>
      <c r="V15" s="176"/>
    </row>
    <row r="16" spans="2:22" ht="14.25">
      <c r="B16" s="102">
        <v>7</v>
      </c>
      <c r="C16" s="28" t="s">
        <v>441</v>
      </c>
      <c r="D16" s="177" t="s">
        <v>436</v>
      </c>
      <c r="E16" s="207"/>
      <c r="F16" s="207"/>
      <c r="G16" s="207"/>
      <c r="H16" s="207"/>
      <c r="I16" s="207"/>
      <c r="J16" s="207"/>
      <c r="K16" s="176"/>
      <c r="L16" s="176"/>
      <c r="M16" s="176"/>
      <c r="N16" s="176"/>
      <c r="O16" s="176"/>
      <c r="P16" s="176"/>
      <c r="Q16" s="176"/>
      <c r="R16" s="176"/>
      <c r="S16" s="176"/>
      <c r="T16" s="176"/>
      <c r="U16" s="176"/>
      <c r="V16" s="176"/>
    </row>
    <row r="17" spans="2:22" ht="15">
      <c r="B17" s="101" t="s">
        <v>70</v>
      </c>
      <c r="C17" s="103" t="s">
        <v>307</v>
      </c>
      <c r="D17" s="177"/>
      <c r="E17" s="207"/>
      <c r="F17" s="207"/>
      <c r="G17" s="207"/>
      <c r="H17" s="207"/>
      <c r="I17" s="207"/>
      <c r="J17" s="207"/>
      <c r="K17" s="176"/>
      <c r="L17" s="176"/>
      <c r="M17" s="176"/>
      <c r="N17" s="176"/>
      <c r="O17" s="176"/>
      <c r="P17" s="176"/>
      <c r="Q17" s="176"/>
      <c r="R17" s="176"/>
      <c r="S17" s="176"/>
      <c r="T17" s="176"/>
      <c r="U17" s="176"/>
      <c r="V17" s="176"/>
    </row>
    <row r="18" spans="2:22" ht="14.25">
      <c r="B18" s="102">
        <v>8</v>
      </c>
      <c r="C18" s="28" t="s">
        <v>442</v>
      </c>
      <c r="D18" s="177" t="s">
        <v>437</v>
      </c>
      <c r="E18" s="204">
        <v>1.4407839</v>
      </c>
      <c r="F18" s="204">
        <v>1.4915972</v>
      </c>
      <c r="G18" s="204">
        <v>0</v>
      </c>
      <c r="H18" s="204">
        <v>3.8772250000000001</v>
      </c>
      <c r="I18" s="204">
        <v>4.7595647999999997</v>
      </c>
      <c r="J18" s="204">
        <v>2.7224032999999999</v>
      </c>
      <c r="K18" s="175">
        <v>2.9071858000000002</v>
      </c>
      <c r="L18" s="175">
        <v>1.8347195999999999</v>
      </c>
      <c r="M18" s="175">
        <v>1.5266133</v>
      </c>
      <c r="N18" s="175">
        <v>0.43715039999999999</v>
      </c>
      <c r="O18" s="175">
        <v>0</v>
      </c>
      <c r="P18" s="175">
        <v>0.1497841</v>
      </c>
      <c r="Q18" s="175">
        <v>0</v>
      </c>
      <c r="R18" s="175">
        <v>1.3651257000000001</v>
      </c>
      <c r="S18" s="175">
        <v>0.33542759999999999</v>
      </c>
      <c r="T18" s="175">
        <v>1.2871465</v>
      </c>
      <c r="U18" s="175">
        <v>2.5834054000000002</v>
      </c>
      <c r="V18" s="175">
        <v>0.82483450000000003</v>
      </c>
    </row>
    <row r="19" spans="2:22" ht="14.25">
      <c r="B19" s="102">
        <v>9</v>
      </c>
      <c r="C19" s="28" t="s">
        <v>443</v>
      </c>
      <c r="D19" s="177" t="s">
        <v>437</v>
      </c>
      <c r="E19" s="207"/>
      <c r="F19" s="207"/>
      <c r="G19" s="207"/>
      <c r="H19" s="207"/>
      <c r="I19" s="207"/>
      <c r="J19" s="207"/>
      <c r="K19" s="176"/>
      <c r="L19" s="176"/>
      <c r="M19" s="176"/>
      <c r="N19" s="176"/>
      <c r="O19" s="176"/>
      <c r="P19" s="176"/>
      <c r="Q19" s="176"/>
      <c r="R19" s="176"/>
      <c r="S19" s="176"/>
      <c r="T19" s="176"/>
      <c r="U19" s="176"/>
      <c r="V19" s="176"/>
    </row>
    <row r="20" spans="2:22" ht="14.25">
      <c r="B20" s="102">
        <v>10</v>
      </c>
      <c r="C20" s="28" t="s">
        <v>310</v>
      </c>
      <c r="D20" s="177" t="s">
        <v>437</v>
      </c>
      <c r="E20" s="207"/>
      <c r="F20" s="207"/>
      <c r="G20" s="207"/>
      <c r="H20" s="207"/>
      <c r="I20" s="207"/>
      <c r="J20" s="207"/>
      <c r="K20" s="176"/>
      <c r="L20" s="176"/>
      <c r="M20" s="176"/>
      <c r="N20" s="176"/>
      <c r="O20" s="176"/>
      <c r="P20" s="176"/>
      <c r="Q20" s="176"/>
      <c r="R20" s="176"/>
      <c r="S20" s="176"/>
      <c r="T20" s="176"/>
      <c r="U20" s="176"/>
      <c r="V20" s="176"/>
    </row>
    <row r="21" spans="2:22" ht="14.25">
      <c r="B21" s="102">
        <v>11</v>
      </c>
      <c r="C21" s="28" t="s">
        <v>311</v>
      </c>
      <c r="D21" s="177" t="s">
        <v>437</v>
      </c>
      <c r="E21" s="204">
        <v>1.4407839</v>
      </c>
      <c r="F21" s="204">
        <v>1.4915972</v>
      </c>
      <c r="G21" s="204">
        <v>0</v>
      </c>
      <c r="H21" s="204">
        <v>3.8772250000000001</v>
      </c>
      <c r="I21" s="204">
        <v>4.7595647999999997</v>
      </c>
      <c r="J21" s="204">
        <v>2.7224032999999999</v>
      </c>
      <c r="K21" s="175">
        <v>2.9071858000000002</v>
      </c>
      <c r="L21" s="175">
        <v>1.8347195999999999</v>
      </c>
      <c r="M21" s="175">
        <v>1.5266133</v>
      </c>
      <c r="N21" s="175">
        <v>0.43715039999999999</v>
      </c>
      <c r="O21" s="175">
        <v>0</v>
      </c>
      <c r="P21" s="175">
        <v>0.1497841</v>
      </c>
      <c r="Q21" s="175">
        <v>0</v>
      </c>
      <c r="R21" s="175">
        <v>1.3651257000000001</v>
      </c>
      <c r="S21" s="175">
        <v>0.33542759999999999</v>
      </c>
      <c r="T21" s="175">
        <v>1.2871465</v>
      </c>
      <c r="U21" s="175">
        <v>2.5834054000000002</v>
      </c>
      <c r="V21" s="175">
        <v>0.82483450000000003</v>
      </c>
    </row>
    <row r="22" spans="2:22" ht="15">
      <c r="B22" s="101" t="s">
        <v>312</v>
      </c>
      <c r="C22" s="103" t="s">
        <v>313</v>
      </c>
      <c r="D22" s="177"/>
      <c r="E22" s="207"/>
      <c r="F22" s="207"/>
      <c r="G22" s="207"/>
      <c r="H22" s="207"/>
      <c r="I22" s="207"/>
      <c r="J22" s="207"/>
      <c r="K22" s="176"/>
      <c r="L22" s="176"/>
      <c r="M22" s="176"/>
      <c r="N22" s="176"/>
      <c r="O22" s="176"/>
      <c r="P22" s="176"/>
      <c r="Q22" s="176"/>
      <c r="R22" s="176"/>
      <c r="S22" s="176"/>
      <c r="T22" s="176"/>
      <c r="U22" s="176"/>
      <c r="V22" s="176"/>
    </row>
    <row r="23" spans="2:22" ht="14.25">
      <c r="B23" s="102">
        <v>12</v>
      </c>
      <c r="C23" s="28" t="s">
        <v>314</v>
      </c>
      <c r="D23" s="177"/>
      <c r="E23" s="207"/>
      <c r="F23" s="207"/>
      <c r="G23" s="207"/>
      <c r="H23" s="207"/>
      <c r="I23" s="207"/>
      <c r="J23" s="207"/>
      <c r="K23" s="176"/>
      <c r="L23" s="176"/>
      <c r="M23" s="176"/>
      <c r="N23" s="176"/>
      <c r="O23" s="176"/>
      <c r="P23" s="176"/>
      <c r="Q23" s="176"/>
      <c r="R23" s="176"/>
      <c r="S23" s="176"/>
      <c r="T23" s="176"/>
      <c r="U23" s="176"/>
      <c r="V23" s="176"/>
    </row>
    <row r="24" spans="2:22" ht="14.25">
      <c r="B24" s="102"/>
      <c r="C24" s="28" t="s">
        <v>315</v>
      </c>
      <c r="D24" s="177" t="s">
        <v>437</v>
      </c>
      <c r="E24" s="207"/>
      <c r="F24" s="207"/>
      <c r="G24" s="207"/>
      <c r="H24" s="207"/>
      <c r="I24" s="207"/>
      <c r="J24" s="207"/>
      <c r="K24" s="176"/>
      <c r="L24" s="176"/>
      <c r="M24" s="176"/>
      <c r="N24" s="176"/>
      <c r="O24" s="176"/>
      <c r="P24" s="176"/>
      <c r="Q24" s="176"/>
      <c r="R24" s="176"/>
      <c r="S24" s="176"/>
      <c r="T24" s="176"/>
      <c r="U24" s="176"/>
      <c r="V24" s="176"/>
    </row>
    <row r="25" spans="2:22" ht="14.25">
      <c r="B25" s="102"/>
      <c r="C25" s="28" t="s">
        <v>316</v>
      </c>
      <c r="D25" s="177" t="s">
        <v>437</v>
      </c>
      <c r="E25" s="207"/>
      <c r="F25" s="207"/>
      <c r="G25" s="207"/>
      <c r="H25" s="207"/>
      <c r="I25" s="207"/>
      <c r="J25" s="207"/>
      <c r="K25" s="176"/>
      <c r="L25" s="176"/>
      <c r="M25" s="176"/>
      <c r="N25" s="176"/>
      <c r="O25" s="176"/>
      <c r="P25" s="176"/>
      <c r="Q25" s="176"/>
      <c r="R25" s="176"/>
      <c r="S25" s="176"/>
      <c r="T25" s="176"/>
      <c r="U25" s="176"/>
      <c r="V25" s="176"/>
    </row>
    <row r="26" spans="2:22" ht="14.25">
      <c r="B26" s="102"/>
      <c r="C26" s="28" t="s">
        <v>317</v>
      </c>
      <c r="D26" s="177" t="s">
        <v>437</v>
      </c>
      <c r="E26" s="207"/>
      <c r="F26" s="207"/>
      <c r="G26" s="207"/>
      <c r="H26" s="207"/>
      <c r="I26" s="207"/>
      <c r="J26" s="207"/>
      <c r="K26" s="176"/>
      <c r="L26" s="176"/>
      <c r="M26" s="176"/>
      <c r="N26" s="176"/>
      <c r="O26" s="176"/>
      <c r="P26" s="176"/>
      <c r="Q26" s="176"/>
      <c r="R26" s="176"/>
      <c r="S26" s="176"/>
      <c r="T26" s="176"/>
      <c r="U26" s="176"/>
      <c r="V26" s="176"/>
    </row>
    <row r="27" spans="2:22" ht="14.25">
      <c r="B27" s="102"/>
      <c r="C27" s="28" t="s">
        <v>7</v>
      </c>
      <c r="D27" s="177" t="s">
        <v>437</v>
      </c>
      <c r="E27" s="207"/>
      <c r="F27" s="207"/>
      <c r="G27" s="207"/>
      <c r="H27" s="207"/>
      <c r="I27" s="207"/>
      <c r="J27" s="207"/>
      <c r="K27" s="176"/>
      <c r="L27" s="176"/>
      <c r="M27" s="176"/>
      <c r="N27" s="176"/>
      <c r="O27" s="176"/>
      <c r="P27" s="176"/>
      <c r="Q27" s="176"/>
      <c r="R27" s="176"/>
      <c r="S27" s="176"/>
      <c r="T27" s="176"/>
      <c r="U27" s="176"/>
      <c r="V27" s="176"/>
    </row>
    <row r="28" spans="2:22" ht="14.25">
      <c r="B28" s="102">
        <v>13</v>
      </c>
      <c r="C28" s="28" t="s">
        <v>444</v>
      </c>
      <c r="D28" s="177" t="s">
        <v>437</v>
      </c>
      <c r="E28" s="207"/>
      <c r="F28" s="207"/>
      <c r="G28" s="207"/>
      <c r="H28" s="207"/>
      <c r="I28" s="207"/>
      <c r="J28" s="207"/>
      <c r="K28" s="176"/>
      <c r="L28" s="176"/>
      <c r="M28" s="176"/>
      <c r="N28" s="176"/>
      <c r="O28" s="176"/>
      <c r="P28" s="176"/>
      <c r="Q28" s="176"/>
      <c r="R28" s="176"/>
      <c r="S28" s="176"/>
      <c r="T28" s="176"/>
      <c r="U28" s="176"/>
      <c r="V28" s="176"/>
    </row>
    <row r="29" spans="2:22" ht="14.25">
      <c r="B29" s="102">
        <v>14</v>
      </c>
      <c r="C29" s="28" t="s">
        <v>319</v>
      </c>
      <c r="D29" s="177" t="s">
        <v>437</v>
      </c>
      <c r="E29" s="207"/>
      <c r="F29" s="207"/>
      <c r="G29" s="207"/>
      <c r="H29" s="207"/>
      <c r="I29" s="207"/>
      <c r="J29" s="207"/>
      <c r="K29" s="176"/>
      <c r="L29" s="176"/>
      <c r="M29" s="176"/>
      <c r="N29" s="176"/>
      <c r="O29" s="176"/>
      <c r="P29" s="176"/>
      <c r="Q29" s="176"/>
      <c r="R29" s="176"/>
      <c r="S29" s="176"/>
      <c r="T29" s="176"/>
      <c r="U29" s="176"/>
      <c r="V29" s="176"/>
    </row>
    <row r="30" spans="2:22" ht="21.75" customHeight="1">
      <c r="B30" s="102">
        <v>15</v>
      </c>
      <c r="C30" s="28" t="s">
        <v>445</v>
      </c>
      <c r="D30" s="177" t="s">
        <v>437</v>
      </c>
      <c r="E30" s="207"/>
      <c r="F30" s="207"/>
      <c r="G30" s="207"/>
      <c r="H30" s="207"/>
      <c r="I30" s="207"/>
      <c r="J30" s="207"/>
      <c r="K30" s="176"/>
      <c r="L30" s="176"/>
      <c r="M30" s="176"/>
      <c r="N30" s="176"/>
      <c r="O30" s="176"/>
      <c r="P30" s="176"/>
      <c r="Q30" s="176"/>
      <c r="R30" s="176"/>
      <c r="S30" s="176"/>
      <c r="T30" s="176"/>
      <c r="U30" s="176"/>
      <c r="V30" s="176"/>
    </row>
    <row r="31" spans="2:22" ht="14.25">
      <c r="B31" s="102">
        <v>16</v>
      </c>
      <c r="C31" s="28" t="s">
        <v>320</v>
      </c>
      <c r="D31" s="177" t="s">
        <v>437</v>
      </c>
      <c r="E31" s="204">
        <v>0</v>
      </c>
      <c r="F31" s="204">
        <v>0</v>
      </c>
      <c r="G31" s="204">
        <v>0</v>
      </c>
      <c r="H31" s="204">
        <v>0</v>
      </c>
      <c r="I31" s="204">
        <v>0</v>
      </c>
      <c r="J31" s="204">
        <v>0</v>
      </c>
      <c r="K31" s="175">
        <v>0</v>
      </c>
      <c r="L31" s="175">
        <v>0</v>
      </c>
      <c r="M31" s="175">
        <v>0</v>
      </c>
      <c r="N31" s="175">
        <v>0</v>
      </c>
      <c r="O31" s="175">
        <v>0</v>
      </c>
      <c r="P31" s="175">
        <v>0</v>
      </c>
      <c r="Q31" s="175">
        <v>0</v>
      </c>
      <c r="R31" s="175">
        <v>0</v>
      </c>
      <c r="S31" s="175">
        <v>0</v>
      </c>
      <c r="T31" s="175">
        <v>0</v>
      </c>
      <c r="U31" s="175">
        <v>0</v>
      </c>
      <c r="V31" s="175">
        <v>0</v>
      </c>
    </row>
    <row r="32" spans="2:22" ht="14.25">
      <c r="B32" s="102">
        <v>17</v>
      </c>
      <c r="C32" s="28" t="s">
        <v>446</v>
      </c>
      <c r="D32" s="177" t="s">
        <v>437</v>
      </c>
      <c r="E32" s="204">
        <v>1.4407839</v>
      </c>
      <c r="F32" s="204">
        <v>1.4915972</v>
      </c>
      <c r="G32" s="204">
        <v>0</v>
      </c>
      <c r="H32" s="204">
        <v>3.8772250000000001</v>
      </c>
      <c r="I32" s="204">
        <v>4.7595647999999997</v>
      </c>
      <c r="J32" s="204">
        <v>2.7224032999999999</v>
      </c>
      <c r="K32" s="175">
        <v>2.9071858000000002</v>
      </c>
      <c r="L32" s="175">
        <v>1.8347195999999999</v>
      </c>
      <c r="M32" s="175">
        <v>1.5266133</v>
      </c>
      <c r="N32" s="175">
        <v>0.43715039999999999</v>
      </c>
      <c r="O32" s="175">
        <v>0</v>
      </c>
      <c r="P32" s="175">
        <v>0.1497841</v>
      </c>
      <c r="Q32" s="175">
        <v>0</v>
      </c>
      <c r="R32" s="175">
        <v>1.3651257000000001</v>
      </c>
      <c r="S32" s="175">
        <v>0.33542759999999999</v>
      </c>
      <c r="T32" s="175">
        <v>1.2871465</v>
      </c>
      <c r="U32" s="175">
        <v>2.5834054000000002</v>
      </c>
      <c r="V32" s="175">
        <v>0.82483450000000003</v>
      </c>
    </row>
    <row r="33" spans="2:22" ht="15">
      <c r="B33" s="101" t="s">
        <v>322</v>
      </c>
      <c r="C33" s="103" t="s">
        <v>185</v>
      </c>
      <c r="D33" s="177"/>
      <c r="E33" s="200"/>
      <c r="F33" s="200"/>
      <c r="G33" s="200"/>
      <c r="H33" s="200"/>
      <c r="I33" s="200"/>
      <c r="J33" s="200"/>
      <c r="K33" s="174"/>
      <c r="L33" s="174"/>
      <c r="M33" s="174"/>
      <c r="N33" s="174"/>
      <c r="O33" s="174"/>
      <c r="P33" s="174"/>
      <c r="Q33" s="174"/>
      <c r="R33" s="174"/>
      <c r="S33" s="174"/>
      <c r="T33" s="174"/>
      <c r="U33" s="174"/>
      <c r="V33" s="174"/>
    </row>
    <row r="34" spans="2:22" ht="14.25">
      <c r="B34" s="102">
        <v>18</v>
      </c>
      <c r="C34" s="28" t="s">
        <v>447</v>
      </c>
      <c r="D34" s="177" t="s">
        <v>448</v>
      </c>
      <c r="E34" s="200">
        <v>64397.040932383279</v>
      </c>
      <c r="F34" s="200">
        <v>63533.540076267811</v>
      </c>
      <c r="G34" s="200">
        <v>63259.045211026576</v>
      </c>
      <c r="H34" s="200">
        <v>63440.088431166107</v>
      </c>
      <c r="I34" s="200">
        <v>64555.923276707435</v>
      </c>
      <c r="J34" s="200">
        <v>66193.604383023441</v>
      </c>
      <c r="K34" s="174">
        <v>67366.770597204377</v>
      </c>
      <c r="L34" s="174">
        <v>67652.947929089787</v>
      </c>
      <c r="M34" s="174">
        <v>66963.985390502145</v>
      </c>
      <c r="N34" s="174">
        <v>67068.975129149534</v>
      </c>
      <c r="O34" s="174">
        <v>67070</v>
      </c>
      <c r="P34" s="174">
        <v>67004.758380778294</v>
      </c>
      <c r="Q34" s="174">
        <v>67027.443378033495</v>
      </c>
      <c r="R34" s="174">
        <v>67321.110118666533</v>
      </c>
      <c r="S34" s="174">
        <v>67492.064212181212</v>
      </c>
      <c r="T34" s="174">
        <v>67721.692958912099</v>
      </c>
      <c r="U34" s="174">
        <v>67659.319438502251</v>
      </c>
      <c r="V34" s="174">
        <v>67047.654877678229</v>
      </c>
    </row>
    <row r="35" spans="2:22" ht="14.25">
      <c r="B35" s="102">
        <v>19</v>
      </c>
      <c r="C35" s="28" t="s">
        <v>325</v>
      </c>
      <c r="D35" s="177"/>
      <c r="E35" s="174"/>
      <c r="F35" s="174"/>
      <c r="G35" s="174"/>
      <c r="H35" s="174"/>
      <c r="I35" s="174"/>
      <c r="J35" s="174"/>
      <c r="K35" s="176"/>
      <c r="L35" s="176"/>
      <c r="M35" s="176"/>
      <c r="N35" s="176"/>
      <c r="O35" s="176"/>
      <c r="P35" s="176"/>
      <c r="Q35" s="176"/>
      <c r="R35" s="176"/>
      <c r="S35" s="176"/>
      <c r="T35" s="176"/>
      <c r="U35" s="176"/>
      <c r="V35" s="176"/>
    </row>
    <row r="36" spans="2:22" ht="14.25">
      <c r="B36" s="102">
        <v>20</v>
      </c>
      <c r="C36" s="28" t="s">
        <v>449</v>
      </c>
      <c r="D36" s="177" t="s">
        <v>448</v>
      </c>
      <c r="E36" s="174"/>
      <c r="F36" s="174"/>
      <c r="G36" s="174"/>
      <c r="H36" s="174"/>
      <c r="I36" s="174"/>
      <c r="J36" s="174"/>
      <c r="K36" s="176"/>
      <c r="L36" s="176"/>
      <c r="M36" s="176"/>
      <c r="N36" s="176"/>
      <c r="O36" s="176"/>
      <c r="P36" s="176"/>
      <c r="Q36" s="176"/>
      <c r="R36" s="176"/>
      <c r="S36" s="176"/>
      <c r="T36" s="176"/>
      <c r="U36" s="176"/>
      <c r="V36" s="176"/>
    </row>
    <row r="37" spans="2:22" ht="15">
      <c r="B37" s="101" t="s">
        <v>327</v>
      </c>
      <c r="C37" s="103" t="s">
        <v>328</v>
      </c>
      <c r="D37" s="177"/>
      <c r="E37" s="174"/>
      <c r="F37" s="174"/>
      <c r="G37" s="174"/>
      <c r="H37" s="174"/>
      <c r="I37" s="174"/>
      <c r="J37" s="174"/>
      <c r="K37" s="176"/>
      <c r="L37" s="176"/>
      <c r="M37" s="176"/>
      <c r="N37" s="176"/>
      <c r="O37" s="176"/>
      <c r="P37" s="176"/>
      <c r="Q37" s="176"/>
      <c r="R37" s="176"/>
      <c r="S37" s="176"/>
      <c r="T37" s="176"/>
      <c r="U37" s="176"/>
      <c r="V37" s="176"/>
    </row>
    <row r="38" spans="2:22" ht="14.25">
      <c r="B38" s="102">
        <v>21</v>
      </c>
      <c r="C38" s="28" t="s">
        <v>450</v>
      </c>
      <c r="D38" s="177" t="s">
        <v>451</v>
      </c>
      <c r="E38" s="174"/>
      <c r="F38" s="174"/>
      <c r="G38" s="174"/>
      <c r="H38" s="174"/>
      <c r="I38" s="174"/>
      <c r="J38" s="174"/>
      <c r="K38" s="176"/>
      <c r="L38" s="176"/>
      <c r="M38" s="176"/>
      <c r="N38" s="176"/>
      <c r="O38" s="176"/>
      <c r="P38" s="176"/>
      <c r="Q38" s="176"/>
      <c r="R38" s="176"/>
      <c r="S38" s="176"/>
      <c r="T38" s="176"/>
      <c r="U38" s="176"/>
      <c r="V38" s="176"/>
    </row>
    <row r="39" spans="2:22" ht="14.25">
      <c r="B39" s="102">
        <v>22</v>
      </c>
      <c r="C39" s="28" t="s">
        <v>452</v>
      </c>
      <c r="D39" s="177" t="s">
        <v>451</v>
      </c>
      <c r="E39" s="174"/>
      <c r="F39" s="174"/>
      <c r="G39" s="174"/>
      <c r="H39" s="174"/>
      <c r="I39" s="174"/>
      <c r="J39" s="174"/>
      <c r="K39" s="176"/>
      <c r="L39" s="176"/>
      <c r="M39" s="176"/>
      <c r="N39" s="176"/>
      <c r="O39" s="176"/>
      <c r="P39" s="176"/>
      <c r="Q39" s="176"/>
      <c r="R39" s="176"/>
      <c r="S39" s="176"/>
      <c r="T39" s="176"/>
      <c r="U39" s="176"/>
      <c r="V39" s="176"/>
    </row>
    <row r="40" spans="2:22" ht="14.25">
      <c r="B40" s="102">
        <v>23</v>
      </c>
      <c r="C40" s="28" t="s">
        <v>453</v>
      </c>
      <c r="D40" s="177" t="s">
        <v>451</v>
      </c>
      <c r="E40" s="174"/>
      <c r="F40" s="174"/>
      <c r="G40" s="174"/>
      <c r="H40" s="174"/>
      <c r="I40" s="174"/>
      <c r="J40" s="174"/>
      <c r="K40" s="176"/>
      <c r="L40" s="176"/>
      <c r="M40" s="176"/>
      <c r="N40" s="176"/>
      <c r="O40" s="176"/>
      <c r="P40" s="176"/>
      <c r="Q40" s="176"/>
      <c r="R40" s="176"/>
      <c r="S40" s="176"/>
      <c r="T40" s="176"/>
      <c r="U40" s="176"/>
      <c r="V40" s="176"/>
    </row>
    <row r="41" spans="2:22" ht="14.25">
      <c r="B41" s="102">
        <v>24</v>
      </c>
      <c r="C41" s="28" t="s">
        <v>454</v>
      </c>
      <c r="D41" s="177" t="s">
        <v>451</v>
      </c>
      <c r="E41" s="174"/>
      <c r="F41" s="174"/>
      <c r="G41" s="174"/>
      <c r="H41" s="174"/>
      <c r="I41" s="174"/>
      <c r="J41" s="174"/>
      <c r="K41" s="176"/>
      <c r="L41" s="176"/>
      <c r="M41" s="176"/>
      <c r="N41" s="176"/>
      <c r="O41" s="176"/>
      <c r="P41" s="176"/>
      <c r="Q41" s="176"/>
      <c r="R41" s="176"/>
      <c r="S41" s="176"/>
      <c r="T41" s="176"/>
      <c r="U41" s="176"/>
      <c r="V41" s="176"/>
    </row>
    <row r="42" spans="2:22" ht="14.25">
      <c r="B42" s="102">
        <v>25</v>
      </c>
      <c r="C42" s="28" t="s">
        <v>455</v>
      </c>
      <c r="D42" s="177" t="s">
        <v>451</v>
      </c>
      <c r="E42" s="174"/>
      <c r="F42" s="174"/>
      <c r="G42" s="174"/>
      <c r="H42" s="174"/>
      <c r="I42" s="174"/>
      <c r="J42" s="174"/>
      <c r="K42" s="176"/>
      <c r="L42" s="176"/>
      <c r="M42" s="176"/>
      <c r="N42" s="176"/>
      <c r="O42" s="176"/>
      <c r="P42" s="176"/>
      <c r="Q42" s="176"/>
      <c r="R42" s="176"/>
      <c r="S42" s="176"/>
      <c r="T42" s="176"/>
      <c r="U42" s="176"/>
      <c r="V42" s="176"/>
    </row>
    <row r="43" spans="2:22" ht="14.25">
      <c r="B43" s="102">
        <v>26</v>
      </c>
      <c r="C43" s="28" t="s">
        <v>456</v>
      </c>
      <c r="D43" s="177" t="s">
        <v>451</v>
      </c>
      <c r="E43" s="174"/>
      <c r="F43" s="174"/>
      <c r="G43" s="174"/>
      <c r="H43" s="174"/>
      <c r="I43" s="174"/>
      <c r="J43" s="174"/>
      <c r="K43" s="176"/>
      <c r="L43" s="176"/>
      <c r="M43" s="176"/>
      <c r="N43" s="176"/>
      <c r="O43" s="176"/>
      <c r="P43" s="176"/>
      <c r="Q43" s="176"/>
      <c r="R43" s="176"/>
      <c r="S43" s="176"/>
      <c r="T43" s="176"/>
      <c r="U43" s="176"/>
      <c r="V43" s="176"/>
    </row>
    <row r="44" spans="2:22" ht="14.25">
      <c r="B44" s="102">
        <v>27</v>
      </c>
      <c r="C44" s="28" t="s">
        <v>457</v>
      </c>
      <c r="D44" s="177" t="s">
        <v>451</v>
      </c>
      <c r="E44" s="174"/>
      <c r="F44" s="174"/>
      <c r="G44" s="174"/>
      <c r="H44" s="174"/>
      <c r="I44" s="174"/>
      <c r="J44" s="174"/>
      <c r="K44" s="176"/>
      <c r="L44" s="176"/>
      <c r="M44" s="176"/>
      <c r="N44" s="176"/>
      <c r="O44" s="176"/>
      <c r="P44" s="176"/>
      <c r="Q44" s="176"/>
      <c r="R44" s="176"/>
      <c r="S44" s="176"/>
      <c r="T44" s="176"/>
      <c r="U44" s="176"/>
      <c r="V44" s="176"/>
    </row>
    <row r="45" spans="2:22" ht="14.25">
      <c r="B45" s="102">
        <v>28</v>
      </c>
      <c r="C45" s="28" t="s">
        <v>458</v>
      </c>
      <c r="D45" s="177" t="s">
        <v>451</v>
      </c>
      <c r="E45" s="174"/>
      <c r="F45" s="174"/>
      <c r="G45" s="174"/>
      <c r="H45" s="174"/>
      <c r="I45" s="174"/>
      <c r="J45" s="174"/>
      <c r="K45" s="176"/>
      <c r="L45" s="176"/>
      <c r="M45" s="176"/>
      <c r="N45" s="176"/>
      <c r="O45" s="176"/>
      <c r="P45" s="176"/>
      <c r="Q45" s="176"/>
      <c r="R45" s="176"/>
      <c r="S45" s="176"/>
      <c r="T45" s="176"/>
      <c r="U45" s="176"/>
      <c r="V45" s="176"/>
    </row>
    <row r="46" spans="2:22" ht="14.25">
      <c r="B46" s="102">
        <v>29</v>
      </c>
      <c r="C46" s="28" t="s">
        <v>459</v>
      </c>
      <c r="D46" s="177" t="s">
        <v>451</v>
      </c>
      <c r="E46" s="174"/>
      <c r="F46" s="174"/>
      <c r="G46" s="174"/>
      <c r="H46" s="174"/>
      <c r="I46" s="174"/>
      <c r="J46" s="174"/>
      <c r="K46" s="176"/>
      <c r="L46" s="176"/>
      <c r="M46" s="176"/>
      <c r="N46" s="176"/>
      <c r="O46" s="176"/>
      <c r="P46" s="176"/>
      <c r="Q46" s="176"/>
      <c r="R46" s="176"/>
      <c r="S46" s="176"/>
      <c r="T46" s="176"/>
      <c r="U46" s="176"/>
      <c r="V46" s="176"/>
    </row>
    <row r="47" spans="2:22" ht="14.25">
      <c r="B47" s="102">
        <v>30</v>
      </c>
      <c r="C47" s="28" t="s">
        <v>460</v>
      </c>
      <c r="D47" s="177" t="s">
        <v>451</v>
      </c>
      <c r="E47" s="299" t="s">
        <v>461</v>
      </c>
      <c r="F47" s="300"/>
      <c r="G47" s="300"/>
      <c r="H47" s="300"/>
      <c r="I47" s="300"/>
      <c r="J47" s="300"/>
      <c r="K47" s="300"/>
      <c r="L47" s="300"/>
      <c r="M47" s="300"/>
      <c r="N47" s="300"/>
      <c r="O47" s="300"/>
      <c r="P47" s="300"/>
      <c r="Q47" s="300"/>
      <c r="R47" s="300"/>
      <c r="S47" s="300"/>
      <c r="T47" s="300"/>
      <c r="U47" s="300"/>
      <c r="V47" s="301"/>
    </row>
    <row r="49" spans="2:3" ht="15">
      <c r="B49" s="100" t="s">
        <v>235</v>
      </c>
    </row>
    <row r="50" spans="2:3" ht="14.25">
      <c r="B50" s="99">
        <v>1</v>
      </c>
      <c r="C50" s="98" t="s">
        <v>336</v>
      </c>
    </row>
    <row r="51" spans="2:3" ht="14.25">
      <c r="B51" s="99">
        <v>2</v>
      </c>
      <c r="C51" s="98" t="s">
        <v>337</v>
      </c>
    </row>
    <row r="52" spans="2:3" ht="14.25">
      <c r="B52" s="99">
        <v>3</v>
      </c>
      <c r="C52" s="98" t="s">
        <v>338</v>
      </c>
    </row>
    <row r="53" spans="2:3" ht="14.25">
      <c r="B53" s="99">
        <v>4</v>
      </c>
      <c r="C53" s="98" t="s">
        <v>339</v>
      </c>
    </row>
  </sheetData>
  <mergeCells count="9">
    <mergeCell ref="B2:V2"/>
    <mergeCell ref="B3:V3"/>
    <mergeCell ref="B4:V4"/>
    <mergeCell ref="Q6:V6"/>
    <mergeCell ref="E47:V47"/>
    <mergeCell ref="B6:B7"/>
    <mergeCell ref="C6:C7"/>
    <mergeCell ref="D6:D7"/>
    <mergeCell ref="E6:P6"/>
  </mergeCells>
  <pageMargins left="0" right="0" top="0.5" bottom="0.5" header="0.3" footer="0.3"/>
  <pageSetup paperSize="9" scale="57" orientation="landscape" r:id="rId1"/>
</worksheet>
</file>

<file path=xl/worksheets/sheet19.xml><?xml version="1.0" encoding="utf-8"?>
<worksheet xmlns="http://schemas.openxmlformats.org/spreadsheetml/2006/main" xmlns:r="http://schemas.openxmlformats.org/officeDocument/2006/relationships">
  <dimension ref="B2:G19"/>
  <sheetViews>
    <sheetView showGridLines="0" view="pageBreakPreview" zoomScaleNormal="91" zoomScaleSheetLayoutView="100" workbookViewId="0">
      <selection activeCell="E33" sqref="E33"/>
    </sheetView>
  </sheetViews>
  <sheetFormatPr defaultColWidth="9.28515625" defaultRowHeight="14.25"/>
  <cols>
    <col min="1" max="1" width="2.42578125" style="98" customWidth="1"/>
    <col min="2" max="2" width="33.7109375" style="98" customWidth="1"/>
    <col min="3" max="3" width="11" style="98" customWidth="1"/>
    <col min="4" max="4" width="11.7109375" style="98" customWidth="1"/>
    <col min="5" max="5" width="13.85546875" style="98" customWidth="1"/>
    <col min="6" max="6" width="12" style="98" customWidth="1"/>
    <col min="7" max="7" width="15" style="98" customWidth="1"/>
    <col min="8" max="16384" width="9.28515625" style="98"/>
  </cols>
  <sheetData>
    <row r="2" spans="2:7" ht="14.25" customHeight="1">
      <c r="B2" s="249" t="s">
        <v>397</v>
      </c>
      <c r="C2" s="249"/>
      <c r="D2" s="249"/>
      <c r="E2" s="249"/>
      <c r="F2" s="249"/>
      <c r="G2" s="249"/>
    </row>
    <row r="3" spans="2:7" ht="14.25" customHeight="1">
      <c r="B3" s="249" t="s">
        <v>468</v>
      </c>
      <c r="C3" s="249"/>
      <c r="D3" s="249"/>
      <c r="E3" s="249"/>
      <c r="F3" s="249"/>
      <c r="G3" s="249"/>
    </row>
    <row r="4" spans="2:7" ht="14.25" customHeight="1">
      <c r="B4" s="249" t="s">
        <v>342</v>
      </c>
      <c r="C4" s="249"/>
      <c r="D4" s="249"/>
      <c r="E4" s="249"/>
      <c r="F4" s="249"/>
      <c r="G4" s="249"/>
    </row>
    <row r="5" spans="2:7">
      <c r="G5" s="241"/>
    </row>
    <row r="6" spans="2:7" ht="15">
      <c r="B6" s="296" t="s">
        <v>16</v>
      </c>
      <c r="C6" s="296" t="s">
        <v>205</v>
      </c>
      <c r="D6" s="296" t="s">
        <v>37</v>
      </c>
      <c r="E6" s="260" t="s">
        <v>398</v>
      </c>
      <c r="F6" s="261"/>
      <c r="G6" s="262"/>
    </row>
    <row r="7" spans="2:7" ht="30">
      <c r="B7" s="296"/>
      <c r="C7" s="296"/>
      <c r="D7" s="296"/>
      <c r="E7" s="17" t="s">
        <v>366</v>
      </c>
      <c r="F7" s="17" t="s">
        <v>233</v>
      </c>
      <c r="G7" s="17" t="s">
        <v>204</v>
      </c>
    </row>
    <row r="8" spans="2:7" ht="15">
      <c r="B8" s="296"/>
      <c r="C8" s="296"/>
      <c r="D8" s="296"/>
      <c r="E8" s="17" t="s">
        <v>8</v>
      </c>
      <c r="F8" s="17" t="s">
        <v>10</v>
      </c>
      <c r="G8" s="17" t="s">
        <v>226</v>
      </c>
    </row>
    <row r="9" spans="2:7">
      <c r="B9" s="105" t="s">
        <v>167</v>
      </c>
      <c r="C9" s="108" t="s">
        <v>349</v>
      </c>
      <c r="D9" s="108" t="s">
        <v>40</v>
      </c>
      <c r="E9" s="28">
        <v>7</v>
      </c>
      <c r="F9" s="117">
        <v>5.8071405126361757</v>
      </c>
      <c r="G9" s="117">
        <f t="shared" ref="G9:G19" si="0">F9</f>
        <v>5.8071405126361757</v>
      </c>
    </row>
    <row r="10" spans="2:7">
      <c r="B10" s="106" t="s">
        <v>203</v>
      </c>
      <c r="C10" s="109" t="s">
        <v>359</v>
      </c>
      <c r="D10" s="109" t="s">
        <v>47</v>
      </c>
      <c r="E10" s="28">
        <v>2400</v>
      </c>
      <c r="F10" s="120">
        <v>2366.9636625417384</v>
      </c>
      <c r="G10" s="120">
        <f t="shared" si="0"/>
        <v>2366.9636625417384</v>
      </c>
    </row>
    <row r="11" spans="2:7">
      <c r="B11" s="105" t="s">
        <v>343</v>
      </c>
      <c r="C11" s="108" t="s">
        <v>350</v>
      </c>
      <c r="D11" s="108" t="s">
        <v>49</v>
      </c>
      <c r="E11" s="28">
        <v>2</v>
      </c>
      <c r="F11" s="117">
        <v>0.29549187025631002</v>
      </c>
      <c r="G11" s="117">
        <f t="shared" si="0"/>
        <v>0.29549187025631002</v>
      </c>
    </row>
    <row r="12" spans="2:7">
      <c r="B12" s="105" t="s">
        <v>344</v>
      </c>
      <c r="C12" s="108" t="s">
        <v>351</v>
      </c>
      <c r="D12" s="108" t="s">
        <v>352</v>
      </c>
      <c r="E12" s="120">
        <f>F12</f>
        <v>9390</v>
      </c>
      <c r="F12" s="120">
        <v>9390</v>
      </c>
      <c r="G12" s="120">
        <f t="shared" si="0"/>
        <v>9390</v>
      </c>
    </row>
    <row r="13" spans="2:7">
      <c r="B13" s="105" t="s">
        <v>345</v>
      </c>
      <c r="C13" s="108" t="s">
        <v>353</v>
      </c>
      <c r="D13" s="108" t="s">
        <v>354</v>
      </c>
      <c r="E13" s="117">
        <f>F13</f>
        <v>6.5924304135424702E-2</v>
      </c>
      <c r="F13" s="117">
        <v>6.5924304135424702E-2</v>
      </c>
      <c r="G13" s="117">
        <f t="shared" si="0"/>
        <v>6.5924304135424702E-2</v>
      </c>
    </row>
    <row r="14" spans="2:7">
      <c r="B14" s="105" t="s">
        <v>360</v>
      </c>
      <c r="C14" s="108" t="s">
        <v>355</v>
      </c>
      <c r="D14" s="108" t="s">
        <v>329</v>
      </c>
      <c r="E14" s="117">
        <f>F14</f>
        <v>4024.2966852766667</v>
      </c>
      <c r="F14" s="117">
        <v>4024.2966852766667</v>
      </c>
      <c r="G14" s="117">
        <f t="shared" si="0"/>
        <v>4024.2966852766667</v>
      </c>
    </row>
    <row r="15" spans="2:7">
      <c r="B15" s="105" t="s">
        <v>346</v>
      </c>
      <c r="C15" s="108" t="s">
        <v>356</v>
      </c>
      <c r="D15" s="108" t="s">
        <v>357</v>
      </c>
      <c r="E15" s="117">
        <f>F15</f>
        <v>5.1612283675834094</v>
      </c>
      <c r="F15" s="117">
        <v>5.1612283675834094</v>
      </c>
      <c r="G15" s="117">
        <f t="shared" si="0"/>
        <v>5.1612283675834094</v>
      </c>
    </row>
    <row r="16" spans="2:7">
      <c r="B16" s="105" t="s">
        <v>347</v>
      </c>
      <c r="C16" s="108"/>
      <c r="D16" s="108" t="s">
        <v>358</v>
      </c>
      <c r="E16" s="117">
        <f>(E10-(E11*E12/1000))/E14</f>
        <v>0.59171084694425136</v>
      </c>
      <c r="F16" s="117">
        <f>(F10-(F11*F12/1000))/F14</f>
        <v>0.58747880158281518</v>
      </c>
      <c r="G16" s="117">
        <f t="shared" si="0"/>
        <v>0.58747880158281518</v>
      </c>
    </row>
    <row r="17" spans="2:7" ht="15">
      <c r="B17" s="105" t="s">
        <v>402</v>
      </c>
      <c r="C17" s="108"/>
      <c r="D17" s="107" t="s">
        <v>200</v>
      </c>
      <c r="E17" s="158">
        <f>IFERROR(((E10-E11*E12/1000)*E15/E14)*100/(100-E9),0)</f>
        <v>3.2838223748983602</v>
      </c>
      <c r="F17" s="158">
        <f>IFERROR(((F10-F11*F12/1000)*F15/F14)*100/(100-F9),0)</f>
        <v>3.2190468285867206</v>
      </c>
      <c r="G17" s="158">
        <f t="shared" si="0"/>
        <v>3.2190468285867206</v>
      </c>
    </row>
    <row r="18" spans="2:7" ht="15">
      <c r="B18" s="105" t="s">
        <v>403</v>
      </c>
      <c r="C18" s="108"/>
      <c r="D18" s="107" t="s">
        <v>200</v>
      </c>
      <c r="E18" s="158">
        <f>IFERROR((E11*E13)*100/(100-E9),0)</f>
        <v>0.14177269706542947</v>
      </c>
      <c r="F18" s="158">
        <f>IFERROR((F11*F13)*100/(100-F9),0)</f>
        <v>2.06810750096569E-2</v>
      </c>
      <c r="G18" s="158">
        <f t="shared" si="0"/>
        <v>2.06810750096569E-2</v>
      </c>
    </row>
    <row r="19" spans="2:7" ht="15">
      <c r="B19" s="107" t="s">
        <v>348</v>
      </c>
      <c r="C19" s="108"/>
      <c r="D19" s="107" t="s">
        <v>200</v>
      </c>
      <c r="E19" s="157">
        <f>IFERROR(((E10-E11*E12/1000)*E15/E14+E11*E13)*100/(100-E9),0)</f>
        <v>3.4255950719637895</v>
      </c>
      <c r="F19" s="157">
        <f>IFERROR(((F10-F11*F12/1000)*F15/F14+F11*F13)*100/(100-F9),0)</f>
        <v>3.2397279035963775</v>
      </c>
      <c r="G19" s="157">
        <f t="shared" si="0"/>
        <v>3.2397279035963775</v>
      </c>
    </row>
  </sheetData>
  <mergeCells count="7">
    <mergeCell ref="B2:G2"/>
    <mergeCell ref="B4:G4"/>
    <mergeCell ref="E6:G6"/>
    <mergeCell ref="B6:B8"/>
    <mergeCell ref="D6:D8"/>
    <mergeCell ref="C6:C8"/>
    <mergeCell ref="B3:G3"/>
  </mergeCells>
  <pageMargins left="1.45" right="0.2" top="0.75" bottom="0.75" header="0.3" footer="0.3"/>
  <pageSetup paperSize="9" scale="105" orientation="landscape" r:id="rId1"/>
</worksheet>
</file>

<file path=xl/worksheets/sheet2.xml><?xml version="1.0" encoding="utf-8"?>
<worksheet xmlns="http://schemas.openxmlformats.org/spreadsheetml/2006/main" xmlns:r="http://schemas.openxmlformats.org/officeDocument/2006/relationships">
  <dimension ref="B2:I23"/>
  <sheetViews>
    <sheetView showGridLines="0" view="pageBreakPreview" zoomScale="87" zoomScaleNormal="93" zoomScaleSheetLayoutView="87" workbookViewId="0">
      <selection activeCell="E33" sqref="E33"/>
    </sheetView>
  </sheetViews>
  <sheetFormatPr defaultColWidth="9.28515625" defaultRowHeight="14.25"/>
  <cols>
    <col min="1" max="1" width="3" style="15" customWidth="1"/>
    <col min="2" max="2" width="6.28515625" style="15" customWidth="1"/>
    <col min="3" max="3" width="37.28515625" style="15" customWidth="1"/>
    <col min="4" max="4" width="14.28515625" style="15" customWidth="1"/>
    <col min="5" max="5" width="11.5703125" style="15" customWidth="1"/>
    <col min="6" max="6" width="13.85546875" style="15" customWidth="1"/>
    <col min="7" max="7" width="13.140625" style="15" customWidth="1"/>
    <col min="8" max="8" width="14.140625" style="15" customWidth="1"/>
    <col min="9" max="9" width="15.7109375" style="15" customWidth="1"/>
    <col min="10" max="16384" width="9.28515625" style="15"/>
  </cols>
  <sheetData>
    <row r="2" spans="2:9" ht="14.25" customHeight="1">
      <c r="B2" s="249" t="s">
        <v>397</v>
      </c>
      <c r="C2" s="249"/>
      <c r="D2" s="249"/>
      <c r="E2" s="249"/>
      <c r="F2" s="249"/>
      <c r="G2" s="249"/>
      <c r="H2" s="249"/>
      <c r="I2" s="249"/>
    </row>
    <row r="3" spans="2:9" ht="14.25" customHeight="1">
      <c r="B3" s="249" t="s">
        <v>468</v>
      </c>
      <c r="C3" s="249"/>
      <c r="D3" s="249"/>
      <c r="E3" s="249"/>
      <c r="F3" s="249"/>
      <c r="G3" s="249"/>
      <c r="H3" s="249"/>
      <c r="I3" s="249"/>
    </row>
    <row r="4" spans="2:9" s="4" customFormat="1" ht="14.25" customHeight="1">
      <c r="B4" s="245" t="s">
        <v>401</v>
      </c>
      <c r="C4" s="245"/>
      <c r="D4" s="245"/>
      <c r="E4" s="245"/>
      <c r="F4" s="245"/>
      <c r="G4" s="245"/>
      <c r="H4" s="245"/>
      <c r="I4" s="245"/>
    </row>
    <row r="6" spans="2:9">
      <c r="I6" s="244" t="s">
        <v>481</v>
      </c>
    </row>
    <row r="7" spans="2:9" ht="12.75" customHeight="1">
      <c r="B7" s="253" t="s">
        <v>189</v>
      </c>
      <c r="C7" s="256" t="s">
        <v>16</v>
      </c>
      <c r="D7" s="250" t="s">
        <v>37</v>
      </c>
      <c r="E7" s="256" t="s">
        <v>1</v>
      </c>
      <c r="F7" s="260" t="s">
        <v>398</v>
      </c>
      <c r="G7" s="261"/>
      <c r="H7" s="262"/>
      <c r="I7" s="258" t="s">
        <v>9</v>
      </c>
    </row>
    <row r="8" spans="2:9" ht="30" customHeight="1">
      <c r="B8" s="254"/>
      <c r="C8" s="256"/>
      <c r="D8" s="251"/>
      <c r="E8" s="256"/>
      <c r="F8" s="17" t="s">
        <v>366</v>
      </c>
      <c r="G8" s="17" t="s">
        <v>225</v>
      </c>
      <c r="H8" s="17" t="s">
        <v>204</v>
      </c>
      <c r="I8" s="258"/>
    </row>
    <row r="9" spans="2:9" ht="15">
      <c r="B9" s="255"/>
      <c r="C9" s="257"/>
      <c r="D9" s="252"/>
      <c r="E9" s="257"/>
      <c r="F9" s="17" t="s">
        <v>8</v>
      </c>
      <c r="G9" s="17" t="s">
        <v>10</v>
      </c>
      <c r="H9" s="17" t="s">
        <v>226</v>
      </c>
      <c r="I9" s="259"/>
    </row>
    <row r="10" spans="2:9" ht="15">
      <c r="B10" s="23" t="s">
        <v>65</v>
      </c>
      <c r="C10" s="24" t="s">
        <v>229</v>
      </c>
      <c r="D10" s="22"/>
      <c r="E10" s="22"/>
      <c r="F10" s="17"/>
      <c r="G10" s="17"/>
      <c r="H10" s="17"/>
      <c r="I10" s="238"/>
    </row>
    <row r="11" spans="2:9" ht="15">
      <c r="B11" s="2">
        <v>1</v>
      </c>
      <c r="C11" s="3" t="s">
        <v>34</v>
      </c>
      <c r="D11" s="2" t="s">
        <v>201</v>
      </c>
      <c r="E11" s="19" t="s">
        <v>262</v>
      </c>
      <c r="F11" s="140">
        <f>'F2'!E14</f>
        <v>189.93</v>
      </c>
      <c r="G11" s="140">
        <f>'F2'!F14</f>
        <v>258.69</v>
      </c>
      <c r="H11" s="140">
        <f>'F2'!G14</f>
        <v>258.69</v>
      </c>
      <c r="I11" s="145"/>
    </row>
    <row r="12" spans="2:9" ht="15">
      <c r="B12" s="2">
        <f t="shared" ref="B12:B17" si="0">B11+1</f>
        <v>2</v>
      </c>
      <c r="C12" s="20" t="s">
        <v>163</v>
      </c>
      <c r="D12" s="2" t="s">
        <v>201</v>
      </c>
      <c r="E12" s="19" t="s">
        <v>21</v>
      </c>
      <c r="F12" s="146">
        <v>180.11</v>
      </c>
      <c r="G12" s="146">
        <f>H12</f>
        <v>194.41</v>
      </c>
      <c r="H12" s="140">
        <f>'F4'!K22-'F4'!L22</f>
        <v>194.41</v>
      </c>
      <c r="I12" s="145"/>
    </row>
    <row r="13" spans="2:9" ht="15">
      <c r="B13" s="2">
        <f t="shared" si="0"/>
        <v>3</v>
      </c>
      <c r="C13" s="3" t="s">
        <v>227</v>
      </c>
      <c r="D13" s="2" t="s">
        <v>201</v>
      </c>
      <c r="E13" s="18" t="s">
        <v>27</v>
      </c>
      <c r="F13" s="140">
        <f>'F5'!D22</f>
        <v>120.73</v>
      </c>
      <c r="G13" s="140">
        <f>'F5'!E22</f>
        <v>129.47</v>
      </c>
      <c r="H13" s="140">
        <f>'F5'!F22</f>
        <v>129.47</v>
      </c>
      <c r="I13" s="145"/>
    </row>
    <row r="14" spans="2:9" ht="15">
      <c r="B14" s="2">
        <f t="shared" si="0"/>
        <v>4</v>
      </c>
      <c r="C14" s="20" t="s">
        <v>35</v>
      </c>
      <c r="D14" s="2" t="s">
        <v>201</v>
      </c>
      <c r="E14" s="18" t="s">
        <v>28</v>
      </c>
      <c r="F14" s="140">
        <f>'F6'!D19</f>
        <v>42.74</v>
      </c>
      <c r="G14" s="140">
        <f ca="1">'F6'!E19</f>
        <v>55.766434316818199</v>
      </c>
      <c r="H14" s="140">
        <f ca="1">'F6'!F19</f>
        <v>55.766434316818199</v>
      </c>
      <c r="I14" s="145"/>
    </row>
    <row r="15" spans="2:9" ht="15">
      <c r="B15" s="2">
        <f t="shared" si="0"/>
        <v>5</v>
      </c>
      <c r="C15" s="3" t="s">
        <v>228</v>
      </c>
      <c r="D15" s="2" t="s">
        <v>201</v>
      </c>
      <c r="E15" s="18" t="s">
        <v>29</v>
      </c>
      <c r="F15" s="140">
        <f>'F7'!D21</f>
        <v>215.68</v>
      </c>
      <c r="G15" s="140">
        <f>'F7'!E21</f>
        <v>233.98</v>
      </c>
      <c r="H15" s="140">
        <f>'F7'!F21</f>
        <v>233.98</v>
      </c>
      <c r="I15" s="145"/>
    </row>
    <row r="16" spans="2:9" ht="15">
      <c r="B16" s="2">
        <f t="shared" si="0"/>
        <v>6</v>
      </c>
      <c r="C16" s="3" t="s">
        <v>36</v>
      </c>
      <c r="D16" s="2" t="s">
        <v>201</v>
      </c>
      <c r="E16" s="18" t="s">
        <v>30</v>
      </c>
      <c r="F16" s="140">
        <f>'F8'!D34</f>
        <v>0</v>
      </c>
      <c r="G16" s="140">
        <f>'F8'!E34</f>
        <v>31.86</v>
      </c>
      <c r="H16" s="140">
        <f>G16</f>
        <v>31.86</v>
      </c>
      <c r="I16" s="145"/>
    </row>
    <row r="17" spans="2:9" ht="15">
      <c r="B17" s="16">
        <f t="shared" si="0"/>
        <v>7</v>
      </c>
      <c r="C17" s="21" t="s">
        <v>229</v>
      </c>
      <c r="D17" s="16" t="s">
        <v>201</v>
      </c>
      <c r="E17" s="18"/>
      <c r="F17" s="140">
        <f>SUM(F11:F16)</f>
        <v>749.19</v>
      </c>
      <c r="G17" s="140">
        <f ca="1">SUM(G11:G15)-G16</f>
        <v>840.45643431681822</v>
      </c>
      <c r="H17" s="140">
        <f t="shared" ref="H17" ca="1" si="1">SUM(H11:H15)-H16</f>
        <v>840.45643431681822</v>
      </c>
      <c r="I17" s="145"/>
    </row>
    <row r="18" spans="2:9" ht="15">
      <c r="B18" s="16" t="s">
        <v>69</v>
      </c>
      <c r="C18" s="16" t="s">
        <v>230</v>
      </c>
      <c r="D18" s="18"/>
      <c r="E18" s="18"/>
      <c r="F18" s="18"/>
      <c r="G18" s="3"/>
      <c r="H18" s="141"/>
      <c r="I18" s="3"/>
    </row>
    <row r="19" spans="2:9" ht="15">
      <c r="B19" s="2">
        <v>1</v>
      </c>
      <c r="C19" s="18" t="s">
        <v>231</v>
      </c>
      <c r="D19" s="2" t="s">
        <v>200</v>
      </c>
      <c r="E19" s="18" t="s">
        <v>160</v>
      </c>
      <c r="F19" s="159">
        <f>'F12'!E19</f>
        <v>3.4255950719637895</v>
      </c>
      <c r="G19" s="159">
        <f>'F12'!F19</f>
        <v>3.2397279035963775</v>
      </c>
      <c r="H19" s="159">
        <f>'F12'!G19</f>
        <v>3.2397279035963775</v>
      </c>
      <c r="I19" s="3"/>
    </row>
    <row r="20" spans="2:9" ht="15">
      <c r="B20" s="2">
        <f>B19+1</f>
        <v>2</v>
      </c>
      <c r="C20" s="18" t="s">
        <v>232</v>
      </c>
      <c r="D20" s="2" t="s">
        <v>43</v>
      </c>
      <c r="E20" s="18" t="s">
        <v>32</v>
      </c>
      <c r="F20" s="140">
        <f>G20</f>
        <v>4218.9999047272722</v>
      </c>
      <c r="G20" s="140">
        <f>'F10'!F23</f>
        <v>4218.9999047272722</v>
      </c>
      <c r="H20" s="140">
        <f>G20</f>
        <v>4218.9999047272722</v>
      </c>
      <c r="I20" s="3"/>
    </row>
    <row r="21" spans="2:9" ht="15">
      <c r="B21" s="2">
        <f>B20+1</f>
        <v>3</v>
      </c>
      <c r="C21" s="18" t="s">
        <v>230</v>
      </c>
      <c r="D21" s="2" t="s">
        <v>201</v>
      </c>
      <c r="E21" s="18"/>
      <c r="F21" s="140">
        <v>1445.26</v>
      </c>
      <c r="G21" s="140">
        <f t="shared" ref="G21:H21" si="2">G19*G20/10</f>
        <v>1366.8411716615403</v>
      </c>
      <c r="H21" s="140">
        <f t="shared" si="2"/>
        <v>1366.8411716615403</v>
      </c>
      <c r="I21" s="3"/>
    </row>
    <row r="22" spans="2:9" ht="15">
      <c r="B22" s="16" t="s">
        <v>70</v>
      </c>
      <c r="C22" s="16" t="s">
        <v>390</v>
      </c>
      <c r="D22" s="2" t="s">
        <v>201</v>
      </c>
      <c r="E22" s="3"/>
      <c r="F22" s="223">
        <f>F17+F21</f>
        <v>2194.4499999999998</v>
      </c>
      <c r="G22" s="140">
        <f t="shared" ref="G22:H22" ca="1" si="3">G17+G21</f>
        <v>2207.2976059783587</v>
      </c>
      <c r="H22" s="140">
        <f t="shared" ca="1" si="3"/>
        <v>2207.2976059783587</v>
      </c>
      <c r="I22" s="3"/>
    </row>
    <row r="23" spans="2:9">
      <c r="F23" s="160"/>
    </row>
  </sheetData>
  <mergeCells count="9">
    <mergeCell ref="B3:I3"/>
    <mergeCell ref="B4:I4"/>
    <mergeCell ref="B2:I2"/>
    <mergeCell ref="D7:D9"/>
    <mergeCell ref="B7:B9"/>
    <mergeCell ref="C7:C9"/>
    <mergeCell ref="E7:E9"/>
    <mergeCell ref="I7:I9"/>
    <mergeCell ref="F7:H7"/>
  </mergeCells>
  <pageMargins left="0.23" right="0.23" top="0.92" bottom="1" header="0.5" footer="0.5"/>
  <pageSetup paperSize="9" scale="110" orientation="landscape" r:id="rId1"/>
  <headerFooter alignWithMargins="0"/>
</worksheet>
</file>

<file path=xl/worksheets/sheet20.xml><?xml version="1.0" encoding="utf-8"?>
<worksheet xmlns="http://schemas.openxmlformats.org/spreadsheetml/2006/main" xmlns:r="http://schemas.openxmlformats.org/officeDocument/2006/relationships">
  <sheetPr>
    <pageSetUpPr fitToPage="1"/>
  </sheetPr>
  <dimension ref="B1:O13"/>
  <sheetViews>
    <sheetView showGridLines="0" view="pageBreakPreview" zoomScale="90" zoomScaleNormal="93" zoomScaleSheetLayoutView="90" workbookViewId="0">
      <selection activeCell="E33" sqref="E33"/>
    </sheetView>
  </sheetViews>
  <sheetFormatPr defaultColWidth="9.28515625" defaultRowHeight="14.25"/>
  <cols>
    <col min="1" max="1" width="4.28515625" style="5" customWidth="1"/>
    <col min="2" max="2" width="30.42578125" style="5" customWidth="1"/>
    <col min="3" max="15" width="10.7109375" style="5" customWidth="1"/>
    <col min="16" max="16384" width="9.28515625" style="5"/>
  </cols>
  <sheetData>
    <row r="1" spans="2:15" ht="15">
      <c r="B1" s="110"/>
    </row>
    <row r="2" spans="2:15" ht="14.25" customHeight="1">
      <c r="B2" s="249" t="s">
        <v>397</v>
      </c>
      <c r="C2" s="249"/>
      <c r="D2" s="249"/>
      <c r="E2" s="249"/>
      <c r="F2" s="249"/>
      <c r="G2" s="249"/>
      <c r="H2" s="249"/>
      <c r="I2" s="249"/>
      <c r="J2" s="249"/>
      <c r="K2" s="249"/>
      <c r="L2" s="249"/>
      <c r="M2" s="249"/>
      <c r="N2" s="249"/>
      <c r="O2" s="249"/>
    </row>
    <row r="3" spans="2:15" ht="14.25" customHeight="1">
      <c r="B3" s="249" t="s">
        <v>468</v>
      </c>
      <c r="C3" s="249"/>
      <c r="D3" s="249"/>
      <c r="E3" s="249"/>
      <c r="F3" s="249"/>
      <c r="G3" s="249"/>
      <c r="H3" s="249"/>
      <c r="I3" s="249"/>
      <c r="J3" s="249"/>
      <c r="K3" s="249"/>
      <c r="L3" s="249"/>
      <c r="M3" s="249"/>
      <c r="N3" s="249"/>
      <c r="O3" s="249"/>
    </row>
    <row r="4" spans="2:15" ht="15">
      <c r="B4" s="249" t="s">
        <v>361</v>
      </c>
      <c r="C4" s="249"/>
      <c r="D4" s="249"/>
      <c r="E4" s="249"/>
      <c r="F4" s="249"/>
      <c r="G4" s="249"/>
      <c r="H4" s="249"/>
      <c r="I4" s="249"/>
      <c r="J4" s="249"/>
      <c r="K4" s="249"/>
      <c r="L4" s="249"/>
      <c r="M4" s="249"/>
      <c r="N4" s="249"/>
      <c r="O4" s="249"/>
    </row>
    <row r="5" spans="2:15" ht="15">
      <c r="B5" s="25" t="s">
        <v>398</v>
      </c>
      <c r="C5" s="73"/>
      <c r="D5" s="73"/>
      <c r="E5" s="73"/>
      <c r="F5" s="73"/>
      <c r="G5" s="73"/>
      <c r="H5" s="73"/>
      <c r="I5" s="36"/>
    </row>
    <row r="6" spans="2:15" ht="15">
      <c r="B6" s="25" t="s">
        <v>10</v>
      </c>
      <c r="C6" s="26"/>
      <c r="D6" s="26"/>
      <c r="O6" s="26" t="s">
        <v>138</v>
      </c>
    </row>
    <row r="7" spans="2:15" s="33" customFormat="1" ht="15" customHeight="1">
      <c r="B7" s="31" t="s">
        <v>362</v>
      </c>
      <c r="C7" s="31" t="s">
        <v>139</v>
      </c>
      <c r="D7" s="31" t="s">
        <v>140</v>
      </c>
      <c r="E7" s="111" t="s">
        <v>141</v>
      </c>
      <c r="F7" s="111" t="s">
        <v>142</v>
      </c>
      <c r="G7" s="111" t="s">
        <v>143</v>
      </c>
      <c r="H7" s="111" t="s">
        <v>144</v>
      </c>
      <c r="I7" s="111" t="s">
        <v>145</v>
      </c>
      <c r="J7" s="111" t="s">
        <v>146</v>
      </c>
      <c r="K7" s="111" t="s">
        <v>147</v>
      </c>
      <c r="L7" s="111" t="s">
        <v>148</v>
      </c>
      <c r="M7" s="111" t="s">
        <v>149</v>
      </c>
      <c r="N7" s="111" t="s">
        <v>150</v>
      </c>
      <c r="O7" s="111" t="s">
        <v>137</v>
      </c>
    </row>
    <row r="8" spans="2:15" s="33" customFormat="1" ht="15">
      <c r="B8" s="209" t="s">
        <v>465</v>
      </c>
      <c r="C8" s="208">
        <f>372.67*0.7055</f>
        <v>262.91868500000004</v>
      </c>
      <c r="D8" s="208">
        <f>351.45*0.7055</f>
        <v>247.94797499999999</v>
      </c>
      <c r="E8" s="208">
        <f>360.26*0.7055</f>
        <v>254.16343000000001</v>
      </c>
      <c r="F8" s="208">
        <f>273.49*0.7055</f>
        <v>192.94719500000002</v>
      </c>
      <c r="G8" s="208">
        <f>380.68*0.7055</f>
        <v>268.56974000000002</v>
      </c>
      <c r="H8" s="208">
        <f>331.39*0.7055</f>
        <v>233.79564500000001</v>
      </c>
      <c r="I8" s="208">
        <f>352.54*0.7055</f>
        <v>248.71697000000003</v>
      </c>
      <c r="J8" s="208">
        <f>340.14*0.7055</f>
        <v>239.96877000000001</v>
      </c>
      <c r="K8" s="208">
        <f>352.79*0.7055</f>
        <v>248.89334500000001</v>
      </c>
      <c r="L8" s="208">
        <f>380.15*0.7055</f>
        <v>268.19582500000001</v>
      </c>
      <c r="M8" s="208">
        <f>343.04*0.7055</f>
        <v>242.01472000000001</v>
      </c>
      <c r="N8" s="208">
        <f>380.409831*0.7055</f>
        <v>268.3791357705</v>
      </c>
      <c r="O8" s="208">
        <f>SUM(C8:N8)</f>
        <v>2976.5114357705002</v>
      </c>
    </row>
    <row r="9" spans="2:15" s="33" customFormat="1" ht="15">
      <c r="B9" s="209"/>
      <c r="C9" s="225"/>
      <c r="D9" s="225"/>
      <c r="E9" s="225"/>
      <c r="F9" s="225"/>
      <c r="G9" s="225"/>
      <c r="H9" s="225"/>
      <c r="I9" s="225"/>
      <c r="J9" s="225"/>
      <c r="K9" s="225"/>
      <c r="L9" s="225"/>
      <c r="M9" s="225"/>
      <c r="N9" s="225"/>
      <c r="O9" s="225"/>
    </row>
    <row r="10" spans="2:15" s="33" customFormat="1" ht="15">
      <c r="B10" s="209" t="s">
        <v>466</v>
      </c>
      <c r="C10" s="208">
        <f>372.67*0.2945</f>
        <v>109.75131500000001</v>
      </c>
      <c r="D10" s="208">
        <f>351.45*0.2945</f>
        <v>103.50202499999999</v>
      </c>
      <c r="E10" s="208">
        <f>360.26*0.2945</f>
        <v>106.09656999999999</v>
      </c>
      <c r="F10" s="208">
        <f>273.49*0.2945</f>
        <v>80.542805000000001</v>
      </c>
      <c r="G10" s="208">
        <f>380.68*0.2945</f>
        <v>112.11026</v>
      </c>
      <c r="H10" s="208">
        <f>331.39*0.2945</f>
        <v>97.594354999999993</v>
      </c>
      <c r="I10" s="208">
        <f>352.54*0.2945</f>
        <v>103.82303</v>
      </c>
      <c r="J10" s="208">
        <f>340.14*0.2945</f>
        <v>100.17122999999999</v>
      </c>
      <c r="K10" s="208">
        <f>352.79*0.2945</f>
        <v>103.896655</v>
      </c>
      <c r="L10" s="208">
        <f>380.15*0.2945</f>
        <v>111.95417499999999</v>
      </c>
      <c r="M10" s="208">
        <f>343.04*0.2945</f>
        <v>101.02528</v>
      </c>
      <c r="N10" s="208">
        <f>380.409831*0.2945</f>
        <v>112.0306952295</v>
      </c>
      <c r="O10" s="208">
        <f>SUM(C10:N10)</f>
        <v>1242.4983952295001</v>
      </c>
    </row>
    <row r="11" spans="2:15">
      <c r="B11" s="38"/>
      <c r="C11" s="27"/>
      <c r="D11" s="27"/>
      <c r="E11" s="27"/>
      <c r="F11" s="27"/>
      <c r="G11" s="27"/>
      <c r="H11" s="27"/>
      <c r="I11" s="27"/>
      <c r="J11" s="27"/>
      <c r="K11" s="27"/>
      <c r="L11" s="27"/>
      <c r="M11" s="27"/>
      <c r="N11" s="27"/>
      <c r="O11" s="27"/>
    </row>
    <row r="12" spans="2:15" ht="15">
      <c r="B12" s="40" t="s">
        <v>137</v>
      </c>
      <c r="C12" s="131">
        <f>C8+C10</f>
        <v>372.67000000000007</v>
      </c>
      <c r="D12" s="131">
        <f t="shared" ref="D12:O12" si="0">D8+D10</f>
        <v>351.45</v>
      </c>
      <c r="E12" s="131">
        <f t="shared" si="0"/>
        <v>360.26</v>
      </c>
      <c r="F12" s="131">
        <f t="shared" si="0"/>
        <v>273.49</v>
      </c>
      <c r="G12" s="131">
        <f t="shared" si="0"/>
        <v>380.68</v>
      </c>
      <c r="H12" s="131">
        <f t="shared" si="0"/>
        <v>331.39</v>
      </c>
      <c r="I12" s="131">
        <f t="shared" si="0"/>
        <v>352.54</v>
      </c>
      <c r="J12" s="131">
        <f t="shared" si="0"/>
        <v>340.14</v>
      </c>
      <c r="K12" s="131">
        <f t="shared" si="0"/>
        <v>352.79</v>
      </c>
      <c r="L12" s="131">
        <f t="shared" si="0"/>
        <v>380.15</v>
      </c>
      <c r="M12" s="131">
        <f t="shared" si="0"/>
        <v>343.04</v>
      </c>
      <c r="N12" s="131">
        <f>N8+N10</f>
        <v>380.409831</v>
      </c>
      <c r="O12" s="131">
        <f t="shared" si="0"/>
        <v>4219.0098310000003</v>
      </c>
    </row>
    <row r="13" spans="2:15" ht="16.5">
      <c r="B13" s="25"/>
      <c r="C13" s="73"/>
      <c r="D13" s="73"/>
      <c r="E13" s="73"/>
      <c r="F13" s="73"/>
      <c r="G13" s="73"/>
      <c r="H13" s="73"/>
      <c r="I13" s="96"/>
    </row>
  </sheetData>
  <mergeCells count="3">
    <mergeCell ref="B3:O3"/>
    <mergeCell ref="B2:O2"/>
    <mergeCell ref="B4:O4"/>
  </mergeCells>
  <pageMargins left="0.38" right="0.33" top="0.25" bottom="0.37" header="0.5" footer="0.5"/>
  <pageSetup paperSize="9" scale="82" orientation="landscape"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B1:Q32"/>
  <sheetViews>
    <sheetView showGridLines="0" tabSelected="1" view="pageBreakPreview" topLeftCell="A8" zoomScaleNormal="93" zoomScaleSheetLayoutView="100" workbookViewId="0">
      <selection activeCell="C30" sqref="C30"/>
    </sheetView>
  </sheetViews>
  <sheetFormatPr defaultColWidth="9.28515625" defaultRowHeight="14.25"/>
  <cols>
    <col min="1" max="1" width="2.42578125" style="15" customWidth="1"/>
    <col min="2" max="2" width="5" style="15" customWidth="1"/>
    <col min="3" max="3" width="40.5703125" style="15" customWidth="1"/>
    <col min="4" max="4" width="13" style="15" customWidth="1"/>
    <col min="5" max="5" width="9.85546875" style="15" customWidth="1"/>
    <col min="6" max="6" width="10.42578125" style="15" customWidth="1"/>
    <col min="7" max="7" width="9" style="15" customWidth="1"/>
    <col min="8" max="8" width="9.7109375" style="15" customWidth="1"/>
    <col min="9" max="9" width="10" style="15" customWidth="1"/>
    <col min="10" max="10" width="11.140625" style="15" customWidth="1"/>
    <col min="11" max="11" width="9.5703125" style="15" customWidth="1"/>
    <col min="12" max="12" width="8.42578125" style="15" customWidth="1"/>
    <col min="13" max="13" width="9.7109375" style="15" customWidth="1"/>
    <col min="14" max="15" width="9" style="15" customWidth="1"/>
    <col min="16" max="16" width="10" style="15" customWidth="1"/>
    <col min="17" max="17" width="11.7109375" style="15" customWidth="1"/>
    <col min="18" max="16384" width="9.28515625" style="15"/>
  </cols>
  <sheetData>
    <row r="1" spans="2:17" s="5" customFormat="1" ht="15">
      <c r="B1" s="110"/>
    </row>
    <row r="2" spans="2:17" s="5" customFormat="1" ht="15" customHeight="1"/>
    <row r="3" spans="2:17" s="5" customFormat="1" ht="15" customHeight="1">
      <c r="I3" s="33" t="s">
        <v>397</v>
      </c>
    </row>
    <row r="4" spans="2:17" s="5" customFormat="1" ht="15" customHeight="1">
      <c r="I4" s="33" t="s">
        <v>468</v>
      </c>
    </row>
    <row r="5" spans="2:17" ht="15">
      <c r="B5" s="25" t="s">
        <v>398</v>
      </c>
      <c r="I5" s="36" t="s">
        <v>365</v>
      </c>
    </row>
    <row r="6" spans="2:17" ht="15">
      <c r="B6" s="37" t="s">
        <v>10</v>
      </c>
    </row>
    <row r="7" spans="2:17" ht="30">
      <c r="B7" s="112" t="s">
        <v>189</v>
      </c>
      <c r="C7" s="112" t="s">
        <v>16</v>
      </c>
      <c r="D7" s="112" t="s">
        <v>37</v>
      </c>
      <c r="E7" s="31" t="s">
        <v>139</v>
      </c>
      <c r="F7" s="31" t="s">
        <v>140</v>
      </c>
      <c r="G7" s="111" t="s">
        <v>141</v>
      </c>
      <c r="H7" s="111" t="s">
        <v>142</v>
      </c>
      <c r="I7" s="111" t="s">
        <v>143</v>
      </c>
      <c r="J7" s="111" t="s">
        <v>144</v>
      </c>
      <c r="K7" s="111" t="s">
        <v>145</v>
      </c>
      <c r="L7" s="111" t="s">
        <v>146</v>
      </c>
      <c r="M7" s="111" t="s">
        <v>147</v>
      </c>
      <c r="N7" s="111" t="s">
        <v>148</v>
      </c>
      <c r="O7" s="111" t="s">
        <v>149</v>
      </c>
      <c r="P7" s="111" t="s">
        <v>150</v>
      </c>
      <c r="Q7" s="113" t="s">
        <v>137</v>
      </c>
    </row>
    <row r="8" spans="2:17" ht="16.5">
      <c r="B8" s="114">
        <v>1</v>
      </c>
      <c r="C8" s="115" t="s">
        <v>168</v>
      </c>
      <c r="D8" s="114" t="s">
        <v>40</v>
      </c>
      <c r="E8" s="178">
        <v>80</v>
      </c>
      <c r="F8" s="178">
        <v>80</v>
      </c>
      <c r="G8" s="178">
        <v>80</v>
      </c>
      <c r="H8" s="178">
        <v>80</v>
      </c>
      <c r="I8" s="178">
        <v>80</v>
      </c>
      <c r="J8" s="178">
        <v>80</v>
      </c>
      <c r="K8" s="178">
        <v>80</v>
      </c>
      <c r="L8" s="178">
        <v>80</v>
      </c>
      <c r="M8" s="178">
        <v>80</v>
      </c>
      <c r="N8" s="178">
        <v>80</v>
      </c>
      <c r="O8" s="178">
        <v>80</v>
      </c>
      <c r="P8" s="178">
        <v>80</v>
      </c>
      <c r="Q8" s="178">
        <v>80</v>
      </c>
    </row>
    <row r="9" spans="2:17" ht="16.5">
      <c r="B9" s="114">
        <f>B8+1</f>
        <v>2</v>
      </c>
      <c r="C9" s="115" t="s">
        <v>190</v>
      </c>
      <c r="D9" s="114" t="s">
        <v>40</v>
      </c>
      <c r="E9" s="203">
        <v>97.77</v>
      </c>
      <c r="F9" s="203">
        <v>92.06</v>
      </c>
      <c r="G9" s="203">
        <v>95.04</v>
      </c>
      <c r="H9" s="203">
        <v>78.62</v>
      </c>
      <c r="I9" s="203">
        <v>92.55</v>
      </c>
      <c r="J9" s="203">
        <v>83.16</v>
      </c>
      <c r="K9" s="203">
        <v>85.35</v>
      </c>
      <c r="L9" s="203">
        <v>87.11</v>
      </c>
      <c r="M9" s="203">
        <v>89.85</v>
      </c>
      <c r="N9" s="203">
        <v>97.2</v>
      </c>
      <c r="O9" s="203">
        <v>94.87</v>
      </c>
      <c r="P9" s="203">
        <v>94.22</v>
      </c>
      <c r="Q9" s="203">
        <v>90.03</v>
      </c>
    </row>
    <row r="10" spans="2:17" ht="16.5">
      <c r="B10" s="114">
        <f t="shared" ref="B10:B26" si="0">B9+1</f>
        <v>3</v>
      </c>
      <c r="C10" s="115" t="s">
        <v>191</v>
      </c>
      <c r="D10" s="114" t="s">
        <v>40</v>
      </c>
      <c r="E10" s="203">
        <v>97.77</v>
      </c>
      <c r="F10" s="203">
        <v>94.87</v>
      </c>
      <c r="G10" s="203">
        <v>94.92</v>
      </c>
      <c r="H10" s="203">
        <v>90.78</v>
      </c>
      <c r="I10" s="203">
        <v>91.14</v>
      </c>
      <c r="J10" s="203">
        <v>89.83</v>
      </c>
      <c r="K10" s="203">
        <v>89.18</v>
      </c>
      <c r="L10" s="203">
        <v>88.93</v>
      </c>
      <c r="M10" s="203">
        <v>89.03</v>
      </c>
      <c r="N10" s="203">
        <v>89.86</v>
      </c>
      <c r="O10" s="203">
        <v>90.29</v>
      </c>
      <c r="P10" s="203">
        <v>90.63</v>
      </c>
      <c r="Q10" s="178"/>
    </row>
    <row r="11" spans="2:17" ht="16.5">
      <c r="B11" s="114">
        <f t="shared" si="0"/>
        <v>4</v>
      </c>
      <c r="C11" s="115" t="s">
        <v>41</v>
      </c>
      <c r="D11" s="114" t="s">
        <v>40</v>
      </c>
      <c r="E11" s="203">
        <v>80</v>
      </c>
      <c r="F11" s="203">
        <v>80</v>
      </c>
      <c r="G11" s="203">
        <v>80</v>
      </c>
      <c r="H11" s="203">
        <v>80</v>
      </c>
      <c r="I11" s="203">
        <v>80</v>
      </c>
      <c r="J11" s="203">
        <v>80</v>
      </c>
      <c r="K11" s="203">
        <v>80</v>
      </c>
      <c r="L11" s="203">
        <v>80</v>
      </c>
      <c r="M11" s="203">
        <v>80</v>
      </c>
      <c r="N11" s="203">
        <v>80</v>
      </c>
      <c r="O11" s="203">
        <v>80</v>
      </c>
      <c r="P11" s="203">
        <v>80</v>
      </c>
      <c r="Q11" s="178">
        <v>80</v>
      </c>
    </row>
    <row r="12" spans="2:17" ht="16.5">
      <c r="B12" s="114">
        <f t="shared" si="0"/>
        <v>5</v>
      </c>
      <c r="C12" s="115" t="s">
        <v>192</v>
      </c>
      <c r="D12" s="114" t="s">
        <v>40</v>
      </c>
      <c r="E12" s="203">
        <v>91.36</v>
      </c>
      <c r="F12" s="203">
        <v>83.68</v>
      </c>
      <c r="G12" s="203">
        <v>88.44</v>
      </c>
      <c r="H12" s="203">
        <v>65.52</v>
      </c>
      <c r="I12" s="203">
        <v>90.42</v>
      </c>
      <c r="J12" s="203">
        <v>81.540000000000006</v>
      </c>
      <c r="K12" s="203">
        <v>83.85</v>
      </c>
      <c r="L12" s="203">
        <v>83.63</v>
      </c>
      <c r="M12" s="203">
        <v>83.78</v>
      </c>
      <c r="N12" s="203">
        <v>90.13</v>
      </c>
      <c r="O12" s="203">
        <v>87.23</v>
      </c>
      <c r="P12" s="203">
        <v>90.55</v>
      </c>
      <c r="Q12" s="178"/>
    </row>
    <row r="13" spans="2:17" ht="16.5">
      <c r="B13" s="114">
        <f t="shared" si="0"/>
        <v>6</v>
      </c>
      <c r="C13" s="115" t="s">
        <v>193</v>
      </c>
      <c r="D13" s="114" t="s">
        <v>40</v>
      </c>
      <c r="E13" s="203">
        <v>91.36</v>
      </c>
      <c r="F13" s="203">
        <v>87.46</v>
      </c>
      <c r="G13" s="203">
        <v>87.78</v>
      </c>
      <c r="H13" s="203">
        <v>82.13</v>
      </c>
      <c r="I13" s="203">
        <v>83.8</v>
      </c>
      <c r="J13" s="203">
        <v>83.43</v>
      </c>
      <c r="K13" s="203">
        <v>83.49</v>
      </c>
      <c r="L13" s="203">
        <v>83.51</v>
      </c>
      <c r="M13" s="203">
        <v>83.54</v>
      </c>
      <c r="N13" s="203">
        <v>84.21</v>
      </c>
      <c r="O13" s="203">
        <v>84.47</v>
      </c>
      <c r="P13" s="203">
        <v>84.99</v>
      </c>
      <c r="Q13" s="178"/>
    </row>
    <row r="14" spans="2:17" ht="16.5">
      <c r="B14" s="114">
        <f t="shared" si="0"/>
        <v>7</v>
      </c>
      <c r="C14" s="104" t="s">
        <v>194</v>
      </c>
      <c r="D14" s="118" t="s">
        <v>43</v>
      </c>
      <c r="E14" s="203">
        <v>394.68</v>
      </c>
      <c r="F14" s="203">
        <v>373.55</v>
      </c>
      <c r="G14" s="203">
        <v>382.08</v>
      </c>
      <c r="H14" s="203">
        <v>292.47000000000003</v>
      </c>
      <c r="I14" s="203">
        <v>403.62</v>
      </c>
      <c r="J14" s="203">
        <v>352.27</v>
      </c>
      <c r="K14" s="203">
        <v>374.31</v>
      </c>
      <c r="L14" s="203">
        <v>361.27</v>
      </c>
      <c r="M14" s="203">
        <v>374.02</v>
      </c>
      <c r="N14" s="203">
        <v>402.36</v>
      </c>
      <c r="O14" s="203">
        <v>364.27</v>
      </c>
      <c r="P14" s="203">
        <v>404.21</v>
      </c>
      <c r="Q14" s="178">
        <v>4479.1099999999997</v>
      </c>
    </row>
    <row r="15" spans="2:17" ht="16.5">
      <c r="B15" s="114">
        <f t="shared" si="0"/>
        <v>8</v>
      </c>
      <c r="C15" s="104" t="s">
        <v>195</v>
      </c>
      <c r="D15" s="118" t="s">
        <v>43</v>
      </c>
      <c r="E15" s="203">
        <v>22.01</v>
      </c>
      <c r="F15" s="203">
        <v>22.1</v>
      </c>
      <c r="G15" s="203">
        <v>21.82</v>
      </c>
      <c r="H15" s="203">
        <v>18.97</v>
      </c>
      <c r="I15" s="203">
        <v>22.94</v>
      </c>
      <c r="J15" s="203">
        <v>20.88</v>
      </c>
      <c r="K15" s="203">
        <v>21.77</v>
      </c>
      <c r="L15" s="203">
        <v>21.13</v>
      </c>
      <c r="M15" s="203">
        <v>21.23</v>
      </c>
      <c r="N15" s="203">
        <v>22.2</v>
      </c>
      <c r="O15" s="203">
        <v>21.23</v>
      </c>
      <c r="P15" s="203">
        <v>23.8</v>
      </c>
      <c r="Q15" s="178">
        <v>260.08</v>
      </c>
    </row>
    <row r="16" spans="2:17" s="219" customFormat="1" ht="16.5">
      <c r="B16" s="215">
        <f t="shared" si="0"/>
        <v>9</v>
      </c>
      <c r="C16" s="216" t="s">
        <v>212</v>
      </c>
      <c r="D16" s="217" t="s">
        <v>43</v>
      </c>
      <c r="E16" s="218">
        <v>372.67</v>
      </c>
      <c r="F16" s="218">
        <v>351.45</v>
      </c>
      <c r="G16" s="218">
        <v>360.26</v>
      </c>
      <c r="H16" s="218">
        <v>273.5</v>
      </c>
      <c r="I16" s="218">
        <v>380.68</v>
      </c>
      <c r="J16" s="218">
        <v>331.39</v>
      </c>
      <c r="K16" s="218">
        <v>352.54</v>
      </c>
      <c r="L16" s="218">
        <v>340.14</v>
      </c>
      <c r="M16" s="218">
        <v>352.78999999999996</v>
      </c>
      <c r="N16" s="218">
        <v>380.16</v>
      </c>
      <c r="O16" s="218">
        <v>343.03999999999996</v>
      </c>
      <c r="P16" s="218">
        <v>380.40999999999997</v>
      </c>
      <c r="Q16" s="218">
        <v>4219.03</v>
      </c>
    </row>
    <row r="17" spans="2:17" s="6" customFormat="1" ht="15">
      <c r="B17" s="210">
        <f t="shared" si="0"/>
        <v>10</v>
      </c>
      <c r="C17" s="211" t="s">
        <v>213</v>
      </c>
      <c r="D17" s="212" t="s">
        <v>43</v>
      </c>
      <c r="E17" s="213">
        <v>27.069999999999993</v>
      </c>
      <c r="F17" s="213">
        <v>-5.6700000000000159</v>
      </c>
      <c r="G17" s="213">
        <v>14.659999999999968</v>
      </c>
      <c r="H17" s="213">
        <v>-83.62</v>
      </c>
      <c r="I17" s="213">
        <v>23.560000000000002</v>
      </c>
      <c r="J17" s="213">
        <v>-14.210000000000036</v>
      </c>
      <c r="K17" s="213">
        <v>-4.5799999999999841</v>
      </c>
      <c r="L17" s="213">
        <v>-5.4600000000000364</v>
      </c>
      <c r="M17" s="213">
        <v>-4.3300000000000409</v>
      </c>
      <c r="N17" s="213">
        <v>23.04000000000002</v>
      </c>
      <c r="O17" s="213">
        <v>8.9599999999999795</v>
      </c>
      <c r="P17" s="213">
        <v>23.289999999999964</v>
      </c>
      <c r="Q17" s="214">
        <v>2.709999999999809</v>
      </c>
    </row>
    <row r="18" spans="2:17" ht="16.5">
      <c r="B18" s="114">
        <f t="shared" si="0"/>
        <v>11</v>
      </c>
      <c r="C18" s="104" t="s">
        <v>196</v>
      </c>
      <c r="D18" s="118" t="s">
        <v>200</v>
      </c>
      <c r="E18" s="202">
        <v>2.9</v>
      </c>
      <c r="F18" s="202">
        <v>2.9</v>
      </c>
      <c r="G18" s="202">
        <v>2.9</v>
      </c>
      <c r="H18" s="202">
        <v>2.9</v>
      </c>
      <c r="I18" s="202">
        <v>2.9</v>
      </c>
      <c r="J18" s="202">
        <v>2.9</v>
      </c>
      <c r="K18" s="202">
        <v>2.9</v>
      </c>
      <c r="L18" s="202">
        <v>2.9</v>
      </c>
      <c r="M18" s="202">
        <v>2.9</v>
      </c>
      <c r="N18" s="202">
        <v>2.9</v>
      </c>
      <c r="O18" s="202">
        <v>2.9</v>
      </c>
      <c r="P18" s="202">
        <v>2.9</v>
      </c>
      <c r="Q18" s="119"/>
    </row>
    <row r="19" spans="2:17" ht="16.5">
      <c r="B19" s="114">
        <f t="shared" si="0"/>
        <v>12</v>
      </c>
      <c r="C19" s="104" t="s">
        <v>214</v>
      </c>
      <c r="D19" s="118" t="s">
        <v>201</v>
      </c>
      <c r="E19" s="201">
        <v>62.433</v>
      </c>
      <c r="F19" s="201">
        <v>62.433</v>
      </c>
      <c r="G19" s="201">
        <v>62.433</v>
      </c>
      <c r="H19" s="201">
        <v>62.433</v>
      </c>
      <c r="I19" s="201">
        <v>62.433</v>
      </c>
      <c r="J19" s="201">
        <v>62.433</v>
      </c>
      <c r="K19" s="201">
        <v>62.433</v>
      </c>
      <c r="L19" s="201">
        <v>62.433</v>
      </c>
      <c r="M19" s="201">
        <v>62.433</v>
      </c>
      <c r="N19" s="201">
        <v>62.433</v>
      </c>
      <c r="O19" s="201">
        <v>62.433</v>
      </c>
      <c r="P19" s="201">
        <v>62.433</v>
      </c>
      <c r="Q19" s="117">
        <v>749.19600000000003</v>
      </c>
    </row>
    <row r="20" spans="2:17" ht="16.5">
      <c r="B20" s="114">
        <f t="shared" si="0"/>
        <v>13</v>
      </c>
      <c r="C20" s="104" t="s">
        <v>363</v>
      </c>
      <c r="D20" s="118" t="s">
        <v>200</v>
      </c>
      <c r="E20" s="202">
        <v>3.581</v>
      </c>
      <c r="F20" s="202">
        <v>3.3239999999999998</v>
      </c>
      <c r="G20" s="202">
        <v>3.1779999999999999</v>
      </c>
      <c r="H20" s="202">
        <v>3.3559999999999999</v>
      </c>
      <c r="I20" s="202">
        <v>3.3359999999999999</v>
      </c>
      <c r="J20" s="202">
        <v>3.5350000000000001</v>
      </c>
      <c r="K20" s="202">
        <v>3.4329999999999998</v>
      </c>
      <c r="L20" s="202">
        <v>3.5019999999999998</v>
      </c>
      <c r="M20" s="202">
        <v>3.5169999999999999</v>
      </c>
      <c r="N20" s="202">
        <v>3.3460000000000001</v>
      </c>
      <c r="O20" s="202">
        <v>3.4239999999999999</v>
      </c>
      <c r="P20" s="202">
        <v>3.5659999999999998</v>
      </c>
      <c r="Q20" s="117"/>
    </row>
    <row r="21" spans="2:17" ht="16.5">
      <c r="B21" s="114">
        <f t="shared" si="0"/>
        <v>14</v>
      </c>
      <c r="C21" s="104" t="s">
        <v>197</v>
      </c>
      <c r="D21" s="118" t="s">
        <v>201</v>
      </c>
      <c r="E21" s="201">
        <v>62.433333333333337</v>
      </c>
      <c r="F21" s="201">
        <v>62.433333333333337</v>
      </c>
      <c r="G21" s="201">
        <v>62.433333333333337</v>
      </c>
      <c r="H21" s="201">
        <v>62.433333333333337</v>
      </c>
      <c r="I21" s="201">
        <v>62.433333333333337</v>
      </c>
      <c r="J21" s="201">
        <v>62.433333333333337</v>
      </c>
      <c r="K21" s="201">
        <v>62.433333333333337</v>
      </c>
      <c r="L21" s="201">
        <v>62.433333333333337</v>
      </c>
      <c r="M21" s="201">
        <v>62.433333333333394</v>
      </c>
      <c r="N21" s="201">
        <v>62.43333333333328</v>
      </c>
      <c r="O21" s="201">
        <v>62.43333333333328</v>
      </c>
      <c r="P21" s="201">
        <v>62.433333333333394</v>
      </c>
      <c r="Q21" s="117">
        <v>749.2</v>
      </c>
    </row>
    <row r="22" spans="2:17" ht="16.5">
      <c r="B22" s="114">
        <f t="shared" si="0"/>
        <v>15</v>
      </c>
      <c r="C22" s="104" t="s">
        <v>364</v>
      </c>
      <c r="D22" s="118" t="s">
        <v>201</v>
      </c>
      <c r="E22" s="201">
        <v>108.07425309771138</v>
      </c>
      <c r="F22" s="201">
        <v>101.9207300465022</v>
      </c>
      <c r="G22" s="201">
        <v>104.47441283871035</v>
      </c>
      <c r="H22" s="201">
        <v>79.312737491854534</v>
      </c>
      <c r="I22" s="201">
        <v>110.39580064091111</v>
      </c>
      <c r="J22" s="201">
        <v>96.102578547560995</v>
      </c>
      <c r="K22" s="201">
        <v>102.23655388412487</v>
      </c>
      <c r="L22" s="201">
        <v>98.640376934417731</v>
      </c>
      <c r="M22" s="201">
        <v>102.30854348660021</v>
      </c>
      <c r="N22" s="201">
        <v>110.24482400302611</v>
      </c>
      <c r="O22" s="201">
        <v>99.480549430928306</v>
      </c>
      <c r="P22" s="201">
        <v>110.31885098701734</v>
      </c>
      <c r="Q22" s="117">
        <v>1223.5102113893652</v>
      </c>
    </row>
    <row r="23" spans="2:17" ht="16.5">
      <c r="B23" s="114">
        <f t="shared" si="0"/>
        <v>16</v>
      </c>
      <c r="C23" s="104" t="s">
        <v>215</v>
      </c>
      <c r="D23" s="118" t="s">
        <v>201</v>
      </c>
      <c r="E23" s="201">
        <v>25.373548504629184</v>
      </c>
      <c r="F23" s="201">
        <v>14.897887643023669</v>
      </c>
      <c r="G23" s="201">
        <v>10.027758412179875</v>
      </c>
      <c r="H23" s="201">
        <v>12.469701183225476</v>
      </c>
      <c r="I23" s="201">
        <v>16.606238219858813</v>
      </c>
      <c r="J23" s="201">
        <v>21.047945767712307</v>
      </c>
      <c r="K23" s="201">
        <v>18.807136738069225</v>
      </c>
      <c r="L23" s="201">
        <v>20.492648630412006</v>
      </c>
      <c r="M23" s="201">
        <v>21.772150567000008</v>
      </c>
      <c r="N23" s="201">
        <v>16.970447597333838</v>
      </c>
      <c r="O23" s="201">
        <v>17.963474000000001</v>
      </c>
      <c r="P23" s="201">
        <v>25.319176134034656</v>
      </c>
      <c r="Q23" s="117">
        <v>221.74811339747905</v>
      </c>
    </row>
    <row r="24" spans="2:17" ht="16.5">
      <c r="B24" s="114">
        <f t="shared" si="0"/>
        <v>17</v>
      </c>
      <c r="C24" s="104" t="s">
        <v>198</v>
      </c>
      <c r="D24" s="118" t="s">
        <v>201</v>
      </c>
      <c r="E24" s="201"/>
      <c r="F24" s="201"/>
      <c r="G24" s="201"/>
      <c r="H24" s="201"/>
      <c r="I24" s="201"/>
      <c r="J24" s="201"/>
      <c r="K24" s="201"/>
      <c r="L24" s="201"/>
      <c r="M24" s="201"/>
      <c r="N24" s="201"/>
      <c r="O24" s="201"/>
      <c r="P24" s="201"/>
      <c r="Q24" s="117">
        <v>14.89</v>
      </c>
    </row>
    <row r="25" spans="2:17" ht="15">
      <c r="B25" s="114">
        <f t="shared" si="0"/>
        <v>18</v>
      </c>
      <c r="C25" s="122" t="s">
        <v>151</v>
      </c>
      <c r="D25" s="118" t="s">
        <v>201</v>
      </c>
      <c r="E25" s="121">
        <v>195.88113493567391</v>
      </c>
      <c r="F25" s="121">
        <v>179.2519510228592</v>
      </c>
      <c r="G25" s="121">
        <v>176.93550458422357</v>
      </c>
      <c r="H25" s="121">
        <v>154.21577200841335</v>
      </c>
      <c r="I25" s="121">
        <v>189.43537219410325</v>
      </c>
      <c r="J25" s="121">
        <v>179.58385764860662</v>
      </c>
      <c r="K25" s="121">
        <v>183.47702395552744</v>
      </c>
      <c r="L25" s="121">
        <v>181.56635889816306</v>
      </c>
      <c r="M25" s="121">
        <v>186.51402738693363</v>
      </c>
      <c r="N25" s="121">
        <v>189.64860493369324</v>
      </c>
      <c r="O25" s="121">
        <v>179.87735676426158</v>
      </c>
      <c r="P25" s="121">
        <v>198.0713604543854</v>
      </c>
      <c r="Q25" s="117">
        <v>2209.3483247868439</v>
      </c>
    </row>
    <row r="26" spans="2:17" ht="15">
      <c r="B26" s="114">
        <f t="shared" si="0"/>
        <v>19</v>
      </c>
      <c r="C26" s="124" t="s">
        <v>199</v>
      </c>
      <c r="D26" s="118"/>
      <c r="E26" s="121"/>
      <c r="F26" s="116"/>
      <c r="G26" s="116"/>
      <c r="H26" s="116"/>
      <c r="I26" s="116"/>
      <c r="J26" s="116"/>
      <c r="K26" s="116"/>
      <c r="L26" s="116"/>
      <c r="M26" s="117"/>
      <c r="N26" s="117"/>
      <c r="O26" s="117"/>
      <c r="P26" s="117"/>
      <c r="Q26" s="123"/>
    </row>
    <row r="27" spans="2:17" ht="33">
      <c r="B27" s="179" t="s">
        <v>462</v>
      </c>
      <c r="C27" s="180" t="s">
        <v>463</v>
      </c>
      <c r="D27" s="181" t="s">
        <v>201</v>
      </c>
      <c r="E27" s="121"/>
      <c r="F27" s="116"/>
      <c r="G27" s="116"/>
      <c r="H27" s="116"/>
      <c r="I27" s="116"/>
      <c r="J27" s="116"/>
      <c r="K27" s="116"/>
      <c r="L27" s="116"/>
      <c r="M27" s="117"/>
      <c r="N27" s="117"/>
      <c r="O27" s="117"/>
      <c r="P27" s="117"/>
      <c r="Q27" s="182">
        <v>-41.43</v>
      </c>
    </row>
    <row r="28" spans="2:17" ht="33">
      <c r="B28" s="179" t="s">
        <v>462</v>
      </c>
      <c r="C28" s="180" t="s">
        <v>464</v>
      </c>
      <c r="D28" s="181" t="s">
        <v>201</v>
      </c>
      <c r="E28" s="121"/>
      <c r="F28" s="116"/>
      <c r="G28" s="116"/>
      <c r="H28" s="116"/>
      <c r="I28" s="116"/>
      <c r="J28" s="116"/>
      <c r="K28" s="116"/>
      <c r="L28" s="116"/>
      <c r="M28" s="117"/>
      <c r="N28" s="117"/>
      <c r="O28" s="117"/>
      <c r="P28" s="117"/>
      <c r="Q28" s="182">
        <v>0</v>
      </c>
    </row>
    <row r="29" spans="2:17" ht="16.5">
      <c r="B29" s="179" t="s">
        <v>462</v>
      </c>
      <c r="C29" s="180" t="s">
        <v>103</v>
      </c>
      <c r="D29" s="181" t="s">
        <v>201</v>
      </c>
      <c r="E29" s="121"/>
      <c r="F29" s="116"/>
      <c r="G29" s="116"/>
      <c r="H29" s="116"/>
      <c r="I29" s="116"/>
      <c r="J29" s="116"/>
      <c r="K29" s="116"/>
      <c r="L29" s="116"/>
      <c r="M29" s="117"/>
      <c r="N29" s="117"/>
      <c r="O29" s="117"/>
      <c r="P29" s="117"/>
      <c r="Q29" s="182">
        <v>2.16</v>
      </c>
    </row>
    <row r="30" spans="2:17" ht="33">
      <c r="B30" s="179" t="s">
        <v>462</v>
      </c>
      <c r="C30" s="180" t="s">
        <v>484</v>
      </c>
      <c r="D30" s="181" t="s">
        <v>201</v>
      </c>
      <c r="E30" s="121"/>
      <c r="F30" s="116"/>
      <c r="G30" s="116"/>
      <c r="H30" s="116"/>
      <c r="I30" s="116"/>
      <c r="J30" s="116"/>
      <c r="K30" s="116"/>
      <c r="L30" s="116"/>
      <c r="M30" s="117"/>
      <c r="N30" s="117"/>
      <c r="O30" s="117"/>
      <c r="P30" s="117"/>
      <c r="Q30" s="182">
        <v>0</v>
      </c>
    </row>
    <row r="31" spans="2:17" ht="15">
      <c r="B31" s="118">
        <f>B26+1</f>
        <v>20</v>
      </c>
      <c r="C31" s="103" t="s">
        <v>166</v>
      </c>
      <c r="D31" s="118" t="s">
        <v>201</v>
      </c>
      <c r="E31" s="129">
        <v>195.88113493567391</v>
      </c>
      <c r="F31" s="129">
        <v>179.2519510228592</v>
      </c>
      <c r="G31" s="129">
        <v>176.93550458422357</v>
      </c>
      <c r="H31" s="129">
        <v>154.21577200841335</v>
      </c>
      <c r="I31" s="129">
        <v>189.43537219410325</v>
      </c>
      <c r="J31" s="129">
        <v>179.58385764860662</v>
      </c>
      <c r="K31" s="129">
        <v>183.47702395552744</v>
      </c>
      <c r="L31" s="129">
        <v>181.56635889816306</v>
      </c>
      <c r="M31" s="129">
        <v>186.51402738693363</v>
      </c>
      <c r="N31" s="129">
        <v>189.64860493369324</v>
      </c>
      <c r="O31" s="129">
        <v>179.87735676426158</v>
      </c>
      <c r="P31" s="129">
        <v>198.0713604543854</v>
      </c>
      <c r="Q31" s="129">
        <v>2170.078324786844</v>
      </c>
    </row>
    <row r="32" spans="2:17" ht="15">
      <c r="B32" s="118">
        <f>B31+1</f>
        <v>21</v>
      </c>
      <c r="C32" s="103" t="s">
        <v>202</v>
      </c>
      <c r="D32" s="118" t="s">
        <v>201</v>
      </c>
      <c r="E32" s="121"/>
      <c r="F32" s="121"/>
      <c r="G32" s="121"/>
      <c r="H32" s="121"/>
      <c r="I32" s="121"/>
      <c r="J32" s="121"/>
      <c r="K32" s="121"/>
      <c r="L32" s="121"/>
      <c r="M32" s="121"/>
      <c r="N32" s="121"/>
      <c r="O32" s="121"/>
      <c r="P32" s="121"/>
      <c r="Q32" s="125"/>
    </row>
  </sheetData>
  <pageMargins left="0.7" right="0.7" top="0.75" bottom="0.75" header="0.3" footer="0.3"/>
  <pageSetup paperSize="9" scale="71" orientation="landscape" r:id="rId1"/>
</worksheet>
</file>

<file path=xl/worksheets/sheet3.xml><?xml version="1.0" encoding="utf-8"?>
<worksheet xmlns="http://schemas.openxmlformats.org/spreadsheetml/2006/main" xmlns:r="http://schemas.openxmlformats.org/officeDocument/2006/relationships">
  <dimension ref="B1:G16"/>
  <sheetViews>
    <sheetView showGridLines="0" view="pageBreakPreview" zoomScale="80" zoomScaleNormal="95" zoomScaleSheetLayoutView="80" workbookViewId="0">
      <selection activeCell="E33" sqref="E33"/>
    </sheetView>
  </sheetViews>
  <sheetFormatPr defaultColWidth="9.28515625" defaultRowHeight="14.25"/>
  <cols>
    <col min="1" max="1" width="9.28515625" style="5"/>
    <col min="2" max="2" width="7.28515625" style="5" customWidth="1"/>
    <col min="3" max="3" width="29.42578125" style="5" customWidth="1"/>
    <col min="4" max="4" width="14.42578125" style="5" customWidth="1"/>
    <col min="5" max="7" width="14.7109375" style="5" customWidth="1"/>
    <col min="8" max="16384" width="9.28515625" style="5"/>
  </cols>
  <sheetData>
    <row r="1" spans="2:7" ht="15">
      <c r="C1" s="37"/>
      <c r="D1" s="37"/>
      <c r="E1" s="37"/>
      <c r="F1" s="37"/>
      <c r="G1" s="37"/>
    </row>
    <row r="2" spans="2:7" ht="15">
      <c r="B2" s="249" t="s">
        <v>397</v>
      </c>
      <c r="C2" s="249"/>
      <c r="D2" s="249"/>
      <c r="E2" s="249"/>
      <c r="F2" s="249"/>
      <c r="G2" s="249"/>
    </row>
    <row r="3" spans="2:7" ht="15">
      <c r="B3" s="249" t="s">
        <v>468</v>
      </c>
      <c r="C3" s="249"/>
      <c r="D3" s="249"/>
      <c r="E3" s="249"/>
      <c r="F3" s="249"/>
      <c r="G3" s="249"/>
    </row>
    <row r="4" spans="2:7" ht="15">
      <c r="B4" s="249" t="s">
        <v>373</v>
      </c>
      <c r="C4" s="249"/>
      <c r="D4" s="249"/>
      <c r="E4" s="249"/>
      <c r="F4" s="249"/>
      <c r="G4" s="249"/>
    </row>
    <row r="5" spans="2:7" ht="15">
      <c r="B5" s="36"/>
      <c r="C5" s="36"/>
      <c r="D5" s="36"/>
      <c r="E5" s="36"/>
      <c r="F5" s="36"/>
      <c r="G5" s="36"/>
    </row>
    <row r="6" spans="2:7" ht="15">
      <c r="B6" s="263" t="s">
        <v>66</v>
      </c>
      <c r="C6" s="263"/>
      <c r="D6" s="263"/>
      <c r="E6" s="263"/>
      <c r="F6" s="263"/>
      <c r="G6" s="263"/>
    </row>
    <row r="7" spans="2:7" ht="15">
      <c r="G7" s="240" t="s">
        <v>481</v>
      </c>
    </row>
    <row r="8" spans="2:7" ht="15" customHeight="1">
      <c r="B8" s="264" t="s">
        <v>189</v>
      </c>
      <c r="C8" s="264" t="s">
        <v>16</v>
      </c>
      <c r="D8" s="265" t="s">
        <v>1</v>
      </c>
      <c r="E8" s="260" t="s">
        <v>398</v>
      </c>
      <c r="F8" s="261"/>
      <c r="G8" s="262"/>
    </row>
    <row r="9" spans="2:7" ht="30">
      <c r="B9" s="264"/>
      <c r="C9" s="264"/>
      <c r="D9" s="266"/>
      <c r="E9" s="17" t="s">
        <v>366</v>
      </c>
      <c r="F9" s="17" t="s">
        <v>233</v>
      </c>
      <c r="G9" s="17" t="s">
        <v>204</v>
      </c>
    </row>
    <row r="10" spans="2:7" ht="15">
      <c r="B10" s="264"/>
      <c r="C10" s="264"/>
      <c r="D10" s="267"/>
      <c r="E10" s="17" t="s">
        <v>8</v>
      </c>
      <c r="F10" s="17" t="s">
        <v>10</v>
      </c>
      <c r="G10" s="17" t="s">
        <v>226</v>
      </c>
    </row>
    <row r="11" spans="2:7">
      <c r="B11" s="22">
        <v>1</v>
      </c>
      <c r="C11" s="29" t="s">
        <v>67</v>
      </c>
      <c r="D11" s="29" t="s">
        <v>22</v>
      </c>
      <c r="E11" s="144">
        <v>154.09</v>
      </c>
      <c r="F11" s="162">
        <f>F2.1!D36</f>
        <v>218.78371512562788</v>
      </c>
      <c r="G11" s="162">
        <f>F11</f>
        <v>218.78371512562788</v>
      </c>
    </row>
    <row r="12" spans="2:7">
      <c r="B12" s="22">
        <f>B11+1</f>
        <v>2</v>
      </c>
      <c r="C12" s="38" t="s">
        <v>234</v>
      </c>
      <c r="D12" s="38" t="s">
        <v>23</v>
      </c>
      <c r="E12" s="150">
        <v>4.96</v>
      </c>
      <c r="F12" s="163">
        <f>F2.2!D40</f>
        <v>12.985007854083594</v>
      </c>
      <c r="G12" s="162">
        <f t="shared" ref="G12:G13" si="0">F12</f>
        <v>12.985007854083594</v>
      </c>
    </row>
    <row r="13" spans="2:7">
      <c r="B13" s="22">
        <f>B12+1</f>
        <v>3</v>
      </c>
      <c r="C13" s="29" t="s">
        <v>207</v>
      </c>
      <c r="D13" s="29" t="s">
        <v>263</v>
      </c>
      <c r="E13" s="144">
        <v>32.799999999999997</v>
      </c>
      <c r="F13" s="162">
        <f>F2.3!D18</f>
        <v>26.922771127391439</v>
      </c>
      <c r="G13" s="162">
        <f t="shared" si="0"/>
        <v>26.922771127391439</v>
      </c>
    </row>
    <row r="14" spans="2:7" ht="15">
      <c r="B14" s="22">
        <f>B13+1</f>
        <v>4</v>
      </c>
      <c r="C14" s="29" t="s">
        <v>68</v>
      </c>
      <c r="D14" s="29"/>
      <c r="E14" s="164">
        <v>189.93</v>
      </c>
      <c r="F14" s="164">
        <f>ROUND(SUM(F11:F13),2)</f>
        <v>258.69</v>
      </c>
      <c r="G14" s="164">
        <f>ROUND(SUM(G11:G13),2)</f>
        <v>258.69</v>
      </c>
    </row>
    <row r="15" spans="2:7">
      <c r="B15" s="51" t="s">
        <v>235</v>
      </c>
      <c r="C15" s="52"/>
      <c r="D15" s="49"/>
      <c r="E15" s="49"/>
      <c r="F15" s="49"/>
      <c r="G15" s="50"/>
    </row>
    <row r="16" spans="2:7">
      <c r="B16" s="53">
        <v>1</v>
      </c>
      <c r="C16" s="52" t="s">
        <v>236</v>
      </c>
    </row>
  </sheetData>
  <mergeCells count="8">
    <mergeCell ref="B4:G4"/>
    <mergeCell ref="B3:G3"/>
    <mergeCell ref="B2:G2"/>
    <mergeCell ref="B6:G6"/>
    <mergeCell ref="B8:B10"/>
    <mergeCell ref="C8:C10"/>
    <mergeCell ref="E8:G8"/>
    <mergeCell ref="D8:D10"/>
  </mergeCells>
  <pageMargins left="0.70866141732283505" right="0.70866141732283505" top="0.74803149606299202" bottom="0.74803149606299202" header="0.31496062992126" footer="0.31496062992126"/>
  <pageSetup paperSize="9" scale="120" orientation="landscape" r:id="rId1"/>
</worksheet>
</file>

<file path=xl/worksheets/sheet4.xml><?xml version="1.0" encoding="utf-8"?>
<worksheet xmlns="http://schemas.openxmlformats.org/spreadsheetml/2006/main" xmlns:r="http://schemas.openxmlformats.org/officeDocument/2006/relationships">
  <dimension ref="B2:D39"/>
  <sheetViews>
    <sheetView showGridLines="0" view="pageBreakPreview" zoomScale="78" zoomScaleNormal="95" zoomScaleSheetLayoutView="78" workbookViewId="0">
      <selection activeCell="E33" sqref="E33"/>
    </sheetView>
  </sheetViews>
  <sheetFormatPr defaultColWidth="9.28515625" defaultRowHeight="14.25"/>
  <cols>
    <col min="1" max="1" width="6.7109375" style="15" customWidth="1"/>
    <col min="2" max="2" width="7" style="15" customWidth="1"/>
    <col min="3" max="3" width="46" style="15" customWidth="1"/>
    <col min="4" max="4" width="10.7109375" style="15" customWidth="1"/>
    <col min="5" max="16384" width="9.28515625" style="15"/>
  </cols>
  <sheetData>
    <row r="2" spans="2:4" ht="14.25" customHeight="1">
      <c r="B2" s="249" t="s">
        <v>397</v>
      </c>
      <c r="C2" s="249"/>
      <c r="D2" s="249"/>
    </row>
    <row r="3" spans="2:4" ht="14.25" customHeight="1">
      <c r="B3" s="249" t="s">
        <v>468</v>
      </c>
      <c r="C3" s="249"/>
      <c r="D3" s="249"/>
    </row>
    <row r="4" spans="2:4" s="4" customFormat="1" ht="14.25" customHeight="1">
      <c r="B4" s="249" t="s">
        <v>264</v>
      </c>
      <c r="C4" s="249"/>
      <c r="D4" s="249"/>
    </row>
    <row r="5" spans="2:4" s="4" customFormat="1" ht="15">
      <c r="C5" s="42"/>
      <c r="D5" s="43"/>
    </row>
    <row r="6" spans="2:4">
      <c r="D6" s="244" t="s">
        <v>481</v>
      </c>
    </row>
    <row r="7" spans="2:4" ht="12.75" customHeight="1">
      <c r="B7" s="256" t="s">
        <v>2</v>
      </c>
      <c r="C7" s="256" t="s">
        <v>16</v>
      </c>
      <c r="D7" s="17" t="s">
        <v>398</v>
      </c>
    </row>
    <row r="8" spans="2:4" ht="15">
      <c r="B8" s="256"/>
      <c r="C8" s="256"/>
      <c r="D8" s="17" t="s">
        <v>233</v>
      </c>
    </row>
    <row r="9" spans="2:4" ht="15" customHeight="1">
      <c r="B9" s="268"/>
      <c r="C9" s="256"/>
      <c r="D9" s="17" t="s">
        <v>10</v>
      </c>
    </row>
    <row r="10" spans="2:4">
      <c r="B10" s="2">
        <v>1</v>
      </c>
      <c r="C10" s="44" t="s">
        <v>71</v>
      </c>
      <c r="D10" s="141">
        <v>111.48412921385106</v>
      </c>
    </row>
    <row r="11" spans="2:4">
      <c r="B11" s="2">
        <v>2</v>
      </c>
      <c r="C11" s="44" t="s">
        <v>72</v>
      </c>
      <c r="D11" s="141">
        <v>9.4912996136331902</v>
      </c>
    </row>
    <row r="12" spans="2:4">
      <c r="B12" s="2">
        <v>3</v>
      </c>
      <c r="C12" s="3" t="s">
        <v>73</v>
      </c>
      <c r="D12" s="141">
        <v>6.1196430187176363</v>
      </c>
    </row>
    <row r="13" spans="2:4">
      <c r="B13" s="2">
        <v>4</v>
      </c>
      <c r="C13" s="44" t="s">
        <v>74</v>
      </c>
      <c r="D13" s="141">
        <v>1.3394635902861116</v>
      </c>
    </row>
    <row r="14" spans="2:4">
      <c r="B14" s="2">
        <v>5</v>
      </c>
      <c r="C14" s="44" t="s">
        <v>75</v>
      </c>
      <c r="D14" s="141">
        <v>4.3011382735618924E-4</v>
      </c>
    </row>
    <row r="15" spans="2:4">
      <c r="B15" s="2">
        <v>6</v>
      </c>
      <c r="C15" s="3" t="s">
        <v>76</v>
      </c>
      <c r="D15" s="141">
        <v>19.91</v>
      </c>
    </row>
    <row r="16" spans="2:4">
      <c r="B16" s="2">
        <v>7</v>
      </c>
      <c r="C16" s="44" t="s">
        <v>77</v>
      </c>
      <c r="D16" s="141">
        <v>20.878477310662291</v>
      </c>
    </row>
    <row r="17" spans="2:4">
      <c r="B17" s="2">
        <v>8</v>
      </c>
      <c r="C17" s="44" t="s">
        <v>78</v>
      </c>
      <c r="D17" s="141">
        <v>1.5752323753266606</v>
      </c>
    </row>
    <row r="18" spans="2:4">
      <c r="B18" s="2">
        <v>9</v>
      </c>
      <c r="C18" s="44" t="s">
        <v>79</v>
      </c>
      <c r="D18" s="141">
        <v>0</v>
      </c>
    </row>
    <row r="19" spans="2:4">
      <c r="B19" s="2">
        <v>10</v>
      </c>
      <c r="C19" s="44" t="s">
        <v>80</v>
      </c>
      <c r="D19" s="154">
        <v>0</v>
      </c>
    </row>
    <row r="20" spans="2:4">
      <c r="B20" s="2">
        <v>11</v>
      </c>
      <c r="C20" s="44" t="s">
        <v>81</v>
      </c>
      <c r="D20" s="154">
        <v>2.375953923719607E-3</v>
      </c>
    </row>
    <row r="21" spans="2:4">
      <c r="B21" s="2">
        <v>12</v>
      </c>
      <c r="C21" s="44" t="s">
        <v>82</v>
      </c>
      <c r="D21" s="154">
        <v>2.5128885438067208</v>
      </c>
    </row>
    <row r="22" spans="2:4">
      <c r="B22" s="2">
        <v>13</v>
      </c>
      <c r="C22" s="44" t="s">
        <v>83</v>
      </c>
      <c r="D22" s="154">
        <v>0</v>
      </c>
    </row>
    <row r="23" spans="2:4">
      <c r="B23" s="2">
        <v>14</v>
      </c>
      <c r="C23" s="44" t="s">
        <v>84</v>
      </c>
      <c r="D23" s="154">
        <v>0</v>
      </c>
    </row>
    <row r="24" spans="2:4">
      <c r="B24" s="2">
        <v>15</v>
      </c>
      <c r="C24" s="44" t="s">
        <v>85</v>
      </c>
      <c r="D24" s="141">
        <v>0</v>
      </c>
    </row>
    <row r="25" spans="2:4">
      <c r="B25" s="2">
        <v>16</v>
      </c>
      <c r="C25" s="44" t="s">
        <v>86</v>
      </c>
      <c r="D25" s="155">
        <v>0</v>
      </c>
    </row>
    <row r="26" spans="2:4" ht="15">
      <c r="B26" s="2">
        <v>17</v>
      </c>
      <c r="C26" s="44" t="s">
        <v>87</v>
      </c>
      <c r="D26" s="156">
        <f>SUM(D10:D25)</f>
        <v>173.31393973403473</v>
      </c>
    </row>
    <row r="27" spans="2:4">
      <c r="B27" s="2">
        <v>18</v>
      </c>
      <c r="C27" s="44" t="s">
        <v>88</v>
      </c>
      <c r="D27" s="155">
        <v>0</v>
      </c>
    </row>
    <row r="28" spans="2:4">
      <c r="B28" s="2">
        <f>+B27+0.1</f>
        <v>18.100000000000001</v>
      </c>
      <c r="C28" s="44" t="s">
        <v>89</v>
      </c>
      <c r="D28" s="155">
        <v>12.249775391593154</v>
      </c>
    </row>
    <row r="29" spans="2:4">
      <c r="B29" s="2">
        <f>+B28+0.1</f>
        <v>18.200000000000003</v>
      </c>
      <c r="C29" s="44" t="s">
        <v>90</v>
      </c>
      <c r="D29" s="155">
        <v>0</v>
      </c>
    </row>
    <row r="30" spans="2:4">
      <c r="B30" s="2">
        <f>+B29+0.1</f>
        <v>18.300000000000004</v>
      </c>
      <c r="C30" s="44" t="s">
        <v>91</v>
      </c>
      <c r="D30" s="155">
        <v>0</v>
      </c>
    </row>
    <row r="31" spans="2:4">
      <c r="B31" s="2">
        <f>+B30+0.1</f>
        <v>18.400000000000006</v>
      </c>
      <c r="C31" s="44" t="s">
        <v>92</v>
      </c>
      <c r="D31" s="141">
        <v>33.22</v>
      </c>
    </row>
    <row r="32" spans="2:4">
      <c r="B32" s="2">
        <v>19</v>
      </c>
      <c r="C32" s="48" t="s">
        <v>389</v>
      </c>
      <c r="D32" s="141">
        <v>0</v>
      </c>
    </row>
    <row r="33" spans="2:4">
      <c r="B33" s="2">
        <v>20</v>
      </c>
      <c r="C33" s="44" t="s">
        <v>93</v>
      </c>
      <c r="D33" s="141">
        <v>0</v>
      </c>
    </row>
    <row r="34" spans="2:4" ht="15">
      <c r="B34" s="16">
        <v>21</v>
      </c>
      <c r="C34" s="45" t="s">
        <v>94</v>
      </c>
      <c r="D34" s="143">
        <f>SUM(D26:D33)</f>
        <v>218.78371512562788</v>
      </c>
    </row>
    <row r="35" spans="2:4">
      <c r="B35" s="2">
        <v>22</v>
      </c>
      <c r="C35" s="44" t="s">
        <v>15</v>
      </c>
      <c r="D35" s="141">
        <v>0</v>
      </c>
    </row>
    <row r="36" spans="2:4" ht="15">
      <c r="B36" s="16">
        <v>23</v>
      </c>
      <c r="C36" s="21" t="s">
        <v>95</v>
      </c>
      <c r="D36" s="130">
        <f>D34-D35</f>
        <v>218.78371512562788</v>
      </c>
    </row>
    <row r="38" spans="2:4" ht="15">
      <c r="B38" s="46"/>
      <c r="D38" s="165"/>
    </row>
    <row r="39" spans="2:4">
      <c r="B39" s="47"/>
    </row>
  </sheetData>
  <mergeCells count="5">
    <mergeCell ref="B2:D2"/>
    <mergeCell ref="B3:D3"/>
    <mergeCell ref="B4:D4"/>
    <mergeCell ref="B7:B9"/>
    <mergeCell ref="C7:C9"/>
  </mergeCells>
  <pageMargins left="1.5" right="0.5" top="0.25" bottom="0.25" header="0.5" footer="0.5"/>
  <pageSetup paperSize="9" scale="95" fitToHeight="0" orientation="landscape" r:id="rId1"/>
  <headerFooter alignWithMargins="0"/>
  <rowBreaks count="1" manualBreakCount="1">
    <brk id="37" min="1" max="8" man="1"/>
  </rowBreaks>
</worksheet>
</file>

<file path=xl/worksheets/sheet5.xml><?xml version="1.0" encoding="utf-8"?>
<worksheet xmlns="http://schemas.openxmlformats.org/spreadsheetml/2006/main" xmlns:r="http://schemas.openxmlformats.org/officeDocument/2006/relationships">
  <sheetPr>
    <pageSetUpPr fitToPage="1"/>
  </sheetPr>
  <dimension ref="B2:D40"/>
  <sheetViews>
    <sheetView showGridLines="0" view="pageBreakPreview" topLeftCell="C3" zoomScale="86" zoomScaleSheetLayoutView="86" workbookViewId="0">
      <selection activeCell="E33" sqref="E33"/>
    </sheetView>
  </sheetViews>
  <sheetFormatPr defaultColWidth="9.28515625" defaultRowHeight="14.25"/>
  <cols>
    <col min="1" max="1" width="2" style="15" customWidth="1"/>
    <col min="2" max="2" width="7" style="15" customWidth="1"/>
    <col min="3" max="3" width="50.28515625" style="15" customWidth="1"/>
    <col min="4" max="4" width="15.7109375" style="15" customWidth="1"/>
    <col min="5" max="16384" width="9.28515625" style="15"/>
  </cols>
  <sheetData>
    <row r="2" spans="2:4" ht="14.25" customHeight="1">
      <c r="B2" s="249" t="s">
        <v>397</v>
      </c>
      <c r="C2" s="249"/>
      <c r="D2" s="249"/>
    </row>
    <row r="3" spans="2:4" ht="14.25" customHeight="1">
      <c r="B3" s="249" t="s">
        <v>468</v>
      </c>
      <c r="C3" s="249"/>
      <c r="D3" s="249"/>
    </row>
    <row r="4" spans="2:4" s="4" customFormat="1" ht="15">
      <c r="B4" s="249" t="s">
        <v>400</v>
      </c>
      <c r="C4" s="249"/>
      <c r="D4" s="249"/>
    </row>
    <row r="6" spans="2:4">
      <c r="D6" s="244" t="s">
        <v>481</v>
      </c>
    </row>
    <row r="7" spans="2:4" ht="12.75" customHeight="1">
      <c r="B7" s="258" t="s">
        <v>189</v>
      </c>
      <c r="C7" s="256" t="s">
        <v>16</v>
      </c>
      <c r="D7" s="17" t="s">
        <v>398</v>
      </c>
    </row>
    <row r="8" spans="2:4" ht="15">
      <c r="B8" s="258"/>
      <c r="C8" s="256"/>
      <c r="D8" s="17" t="s">
        <v>233</v>
      </c>
    </row>
    <row r="9" spans="2:4" ht="15" customHeight="1">
      <c r="B9" s="258"/>
      <c r="C9" s="256"/>
      <c r="D9" s="17" t="s">
        <v>10</v>
      </c>
    </row>
    <row r="10" spans="2:4">
      <c r="B10" s="3">
        <v>1</v>
      </c>
      <c r="C10" s="54" t="s">
        <v>96</v>
      </c>
      <c r="D10" s="141">
        <v>0.4647852884062012</v>
      </c>
    </row>
    <row r="11" spans="2:4">
      <c r="B11" s="3">
        <v>2</v>
      </c>
      <c r="C11" s="55" t="s">
        <v>97</v>
      </c>
      <c r="D11" s="141">
        <v>3.1495063997158548</v>
      </c>
    </row>
    <row r="12" spans="2:4">
      <c r="B12" s="3">
        <v>3</v>
      </c>
      <c r="C12" s="55" t="s">
        <v>98</v>
      </c>
      <c r="D12" s="141">
        <v>0.17095682182879104</v>
      </c>
    </row>
    <row r="13" spans="2:4">
      <c r="B13" s="3">
        <v>4</v>
      </c>
      <c r="C13" s="55" t="s">
        <v>99</v>
      </c>
      <c r="D13" s="141">
        <v>0.13762893823436811</v>
      </c>
    </row>
    <row r="14" spans="2:4">
      <c r="B14" s="3">
        <v>5</v>
      </c>
      <c r="C14" s="55" t="s">
        <v>100</v>
      </c>
      <c r="D14" s="141">
        <v>4.8886164988285317E-2</v>
      </c>
    </row>
    <row r="15" spans="2:4">
      <c r="B15" s="3">
        <v>6</v>
      </c>
      <c r="C15" s="55" t="s">
        <v>101</v>
      </c>
      <c r="D15" s="141">
        <v>0.10190729464466694</v>
      </c>
    </row>
    <row r="16" spans="2:4">
      <c r="B16" s="3">
        <v>7</v>
      </c>
      <c r="C16" s="55" t="s">
        <v>102</v>
      </c>
      <c r="D16" s="141">
        <v>1.5330620193808446</v>
      </c>
    </row>
    <row r="17" spans="2:4">
      <c r="B17" s="3">
        <v>8</v>
      </c>
      <c r="C17" s="55" t="s">
        <v>103</v>
      </c>
      <c r="D17" s="141">
        <v>2.0312664411295768E-3</v>
      </c>
    </row>
    <row r="18" spans="2:4">
      <c r="B18" s="3">
        <v>9</v>
      </c>
      <c r="C18" s="55" t="s">
        <v>104</v>
      </c>
      <c r="D18" s="141">
        <v>7.9492452885466414E-2</v>
      </c>
    </row>
    <row r="19" spans="2:4">
      <c r="B19" s="3">
        <v>10</v>
      </c>
      <c r="C19" s="55" t="s">
        <v>105</v>
      </c>
      <c r="D19" s="141">
        <v>2.1711024692919016E-2</v>
      </c>
    </row>
    <row r="20" spans="2:4">
      <c r="B20" s="3">
        <v>11</v>
      </c>
      <c r="C20" s="55" t="s">
        <v>106</v>
      </c>
      <c r="D20" s="141">
        <v>1.0078444528613558E-3</v>
      </c>
    </row>
    <row r="21" spans="2:4">
      <c r="B21" s="3">
        <v>12</v>
      </c>
      <c r="C21" s="55" t="s">
        <v>107</v>
      </c>
      <c r="D21" s="141">
        <v>0</v>
      </c>
    </row>
    <row r="22" spans="2:4">
      <c r="B22" s="3">
        <v>13</v>
      </c>
      <c r="C22" s="55" t="s">
        <v>108</v>
      </c>
      <c r="D22" s="141">
        <v>2.0362754578957091E-2</v>
      </c>
    </row>
    <row r="23" spans="2:4">
      <c r="B23" s="3">
        <v>14</v>
      </c>
      <c r="C23" s="55" t="s">
        <v>109</v>
      </c>
      <c r="D23" s="141">
        <v>8.9066437514222038E-2</v>
      </c>
    </row>
    <row r="24" spans="2:4">
      <c r="B24" s="3">
        <v>15</v>
      </c>
      <c r="C24" s="55" t="s">
        <v>110</v>
      </c>
      <c r="D24" s="141">
        <v>0</v>
      </c>
    </row>
    <row r="25" spans="2:4">
      <c r="B25" s="3">
        <v>16</v>
      </c>
      <c r="C25" s="54" t="s">
        <v>111</v>
      </c>
      <c r="D25" s="141">
        <v>0</v>
      </c>
    </row>
    <row r="26" spans="2:4">
      <c r="B26" s="3">
        <v>17</v>
      </c>
      <c r="C26" s="54" t="s">
        <v>112</v>
      </c>
      <c r="D26" s="141">
        <v>0</v>
      </c>
    </row>
    <row r="27" spans="2:4">
      <c r="B27" s="3">
        <v>18</v>
      </c>
      <c r="C27" s="55" t="s">
        <v>113</v>
      </c>
      <c r="D27" s="141">
        <v>3.4992072792763895E-2</v>
      </c>
    </row>
    <row r="28" spans="2:4">
      <c r="B28" s="3">
        <v>19</v>
      </c>
      <c r="C28" s="55" t="s">
        <v>114</v>
      </c>
      <c r="D28" s="141">
        <v>1.4266760173019533</v>
      </c>
    </row>
    <row r="29" spans="2:4">
      <c r="B29" s="3">
        <v>20</v>
      </c>
      <c r="C29" s="55" t="s">
        <v>115</v>
      </c>
      <c r="D29" s="141">
        <v>0</v>
      </c>
    </row>
    <row r="30" spans="2:4">
      <c r="B30" s="3">
        <v>21</v>
      </c>
      <c r="C30" s="55" t="s">
        <v>116</v>
      </c>
      <c r="D30" s="141">
        <v>0</v>
      </c>
    </row>
    <row r="31" spans="2:4">
      <c r="B31" s="3">
        <v>22</v>
      </c>
      <c r="C31" s="55" t="s">
        <v>117</v>
      </c>
      <c r="D31" s="141">
        <v>2.0150061818181818E-2</v>
      </c>
    </row>
    <row r="32" spans="2:4">
      <c r="B32" s="3">
        <v>23</v>
      </c>
      <c r="C32" s="55" t="s">
        <v>118</v>
      </c>
      <c r="D32" s="141">
        <v>0</v>
      </c>
    </row>
    <row r="33" spans="2:4">
      <c r="B33" s="3">
        <v>24</v>
      </c>
      <c r="C33" s="55" t="s">
        <v>119</v>
      </c>
      <c r="D33" s="141">
        <v>5.1787746933816062E-2</v>
      </c>
    </row>
    <row r="34" spans="2:4">
      <c r="B34" s="3">
        <v>25</v>
      </c>
      <c r="C34" s="55" t="s">
        <v>120</v>
      </c>
      <c r="D34" s="141">
        <v>0</v>
      </c>
    </row>
    <row r="35" spans="2:4">
      <c r="B35" s="3">
        <v>26</v>
      </c>
      <c r="C35" s="55" t="s">
        <v>121</v>
      </c>
      <c r="D35" s="141">
        <v>0</v>
      </c>
    </row>
    <row r="36" spans="2:4">
      <c r="B36" s="3">
        <v>27</v>
      </c>
      <c r="C36" s="55" t="s">
        <v>122</v>
      </c>
      <c r="D36" s="141">
        <v>0</v>
      </c>
    </row>
    <row r="37" spans="2:4">
      <c r="B37" s="3">
        <v>28</v>
      </c>
      <c r="C37" s="55" t="s">
        <v>93</v>
      </c>
      <c r="D37" s="141">
        <v>5.6309972474723144</v>
      </c>
    </row>
    <row r="38" spans="2:4" ht="15">
      <c r="B38" s="3">
        <v>29</v>
      </c>
      <c r="C38" s="56" t="s">
        <v>123</v>
      </c>
      <c r="D38" s="130">
        <f>SUM(D10:D37)</f>
        <v>12.985007854083594</v>
      </c>
    </row>
    <row r="39" spans="2:4">
      <c r="B39" s="3">
        <v>30</v>
      </c>
      <c r="C39" s="44" t="s">
        <v>15</v>
      </c>
      <c r="D39" s="141"/>
    </row>
    <row r="40" spans="2:4" ht="15">
      <c r="B40" s="3">
        <v>31</v>
      </c>
      <c r="C40" s="21" t="s">
        <v>124</v>
      </c>
      <c r="D40" s="130">
        <f>D38-D39</f>
        <v>12.985007854083594</v>
      </c>
    </row>
  </sheetData>
  <mergeCells count="5">
    <mergeCell ref="B7:B9"/>
    <mergeCell ref="C7:C9"/>
    <mergeCell ref="B4:D4"/>
    <mergeCell ref="B2:D2"/>
    <mergeCell ref="B3:D3"/>
  </mergeCells>
  <pageMargins left="1.5" right="0.25" top="0.25" bottom="0.25" header="0.5" footer="0.5"/>
  <pageSetup paperSize="9" fitToWidth="0" orientation="landscape" r:id="rId1"/>
  <headerFooter alignWithMargins="0"/>
</worksheet>
</file>

<file path=xl/worksheets/sheet6.xml><?xml version="1.0" encoding="utf-8"?>
<worksheet xmlns="http://schemas.openxmlformats.org/spreadsheetml/2006/main" xmlns:r="http://schemas.openxmlformats.org/officeDocument/2006/relationships">
  <dimension ref="B2:D22"/>
  <sheetViews>
    <sheetView showGridLines="0" view="pageBreakPreview" zoomScaleNormal="98" zoomScaleSheetLayoutView="100" workbookViewId="0">
      <selection activeCell="E33" sqref="E33"/>
    </sheetView>
  </sheetViews>
  <sheetFormatPr defaultColWidth="9.28515625" defaultRowHeight="14.25"/>
  <cols>
    <col min="1" max="1" width="4.5703125" style="15" customWidth="1"/>
    <col min="2" max="2" width="8.7109375" style="57" customWidth="1"/>
    <col min="3" max="3" width="45.7109375" style="15" customWidth="1"/>
    <col min="4" max="4" width="15.7109375" style="15" customWidth="1"/>
    <col min="5" max="16384" width="9.28515625" style="15"/>
  </cols>
  <sheetData>
    <row r="2" spans="2:4" ht="14.25" customHeight="1">
      <c r="B2" s="249" t="s">
        <v>397</v>
      </c>
      <c r="C2" s="249"/>
      <c r="D2" s="249"/>
    </row>
    <row r="3" spans="2:4" ht="14.25" customHeight="1">
      <c r="B3" s="249" t="s">
        <v>468</v>
      </c>
      <c r="C3" s="249"/>
      <c r="D3" s="249"/>
    </row>
    <row r="4" spans="2:4" s="4" customFormat="1" ht="14.25" customHeight="1">
      <c r="B4" s="249" t="s">
        <v>265</v>
      </c>
      <c r="C4" s="249"/>
      <c r="D4" s="249"/>
    </row>
    <row r="6" spans="2:4">
      <c r="D6" s="244" t="s">
        <v>481</v>
      </c>
    </row>
    <row r="7" spans="2:4" ht="12.75" customHeight="1">
      <c r="B7" s="258" t="s">
        <v>189</v>
      </c>
      <c r="C7" s="256" t="s">
        <v>16</v>
      </c>
      <c r="D7" s="17" t="s">
        <v>398</v>
      </c>
    </row>
    <row r="8" spans="2:4" ht="15">
      <c r="B8" s="258"/>
      <c r="C8" s="256"/>
      <c r="D8" s="17" t="s">
        <v>233</v>
      </c>
    </row>
    <row r="9" spans="2:4" ht="15" customHeight="1">
      <c r="B9" s="258"/>
      <c r="C9" s="256"/>
      <c r="D9" s="17" t="s">
        <v>10</v>
      </c>
    </row>
    <row r="10" spans="2:4">
      <c r="B10" s="2">
        <v>1</v>
      </c>
      <c r="C10" s="55" t="s">
        <v>125</v>
      </c>
      <c r="D10" s="141">
        <v>21.124878072914999</v>
      </c>
    </row>
    <row r="11" spans="2:4">
      <c r="B11" s="2">
        <v>2</v>
      </c>
      <c r="C11" s="55" t="s">
        <v>126</v>
      </c>
      <c r="D11" s="141">
        <v>0</v>
      </c>
    </row>
    <row r="12" spans="2:4">
      <c r="B12" s="2">
        <v>3</v>
      </c>
      <c r="C12" s="55" t="s">
        <v>127</v>
      </c>
      <c r="D12" s="141">
        <v>4.5909181457512718</v>
      </c>
    </row>
    <row r="13" spans="2:4">
      <c r="B13" s="2">
        <v>4</v>
      </c>
      <c r="C13" s="55" t="s">
        <v>128</v>
      </c>
      <c r="D13" s="141">
        <v>0</v>
      </c>
    </row>
    <row r="14" spans="2:4">
      <c r="B14" s="2">
        <v>5</v>
      </c>
      <c r="C14" s="55" t="s">
        <v>129</v>
      </c>
      <c r="D14" s="141">
        <v>0.89683749476049746</v>
      </c>
    </row>
    <row r="15" spans="2:4">
      <c r="B15" s="2">
        <v>6</v>
      </c>
      <c r="C15" s="55" t="s">
        <v>130</v>
      </c>
      <c r="D15" s="141">
        <v>2.1923454940588352E-2</v>
      </c>
    </row>
    <row r="16" spans="2:4">
      <c r="B16" s="2">
        <v>7</v>
      </c>
      <c r="C16" s="55" t="s">
        <v>131</v>
      </c>
      <c r="D16" s="141">
        <v>0</v>
      </c>
    </row>
    <row r="17" spans="2:4">
      <c r="B17" s="2">
        <v>8</v>
      </c>
      <c r="C17" s="55" t="s">
        <v>132</v>
      </c>
      <c r="D17" s="141">
        <v>0.28821395902408509</v>
      </c>
    </row>
    <row r="18" spans="2:4" ht="15">
      <c r="B18" s="2">
        <v>9</v>
      </c>
      <c r="C18" s="56" t="s">
        <v>133</v>
      </c>
      <c r="D18" s="130">
        <f>SUM(D10:D17)</f>
        <v>26.922771127391439</v>
      </c>
    </row>
    <row r="19" spans="2:4">
      <c r="B19" s="2"/>
      <c r="C19" s="54"/>
      <c r="D19" s="3"/>
    </row>
    <row r="20" spans="2:4" ht="15">
      <c r="B20" s="2">
        <v>10</v>
      </c>
      <c r="C20" s="58" t="s">
        <v>134</v>
      </c>
      <c r="D20" s="130">
        <f>'F4'!F22</f>
        <v>3761.27</v>
      </c>
    </row>
    <row r="21" spans="2:4" ht="28.5">
      <c r="B21" s="2">
        <v>11</v>
      </c>
      <c r="C21" s="58" t="s">
        <v>135</v>
      </c>
      <c r="D21" s="142">
        <f>IFERROR(D18/D20,0)</f>
        <v>7.1578937772059543E-3</v>
      </c>
    </row>
    <row r="22" spans="2:4">
      <c r="B22" s="2"/>
      <c r="C22" s="54"/>
      <c r="D22" s="3"/>
    </row>
  </sheetData>
  <mergeCells count="5">
    <mergeCell ref="B4:D4"/>
    <mergeCell ref="B3:D3"/>
    <mergeCell ref="B2:D2"/>
    <mergeCell ref="B7:B9"/>
    <mergeCell ref="C7:C9"/>
  </mergeCells>
  <pageMargins left="0.75" right="0.75" top="1" bottom="1" header="0.5" footer="0.5"/>
  <pageSetup paperSize="9" scale="110" orientation="landscape"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B1:F16"/>
  <sheetViews>
    <sheetView view="pageBreakPreview" zoomScaleNormal="118" zoomScaleSheetLayoutView="100" workbookViewId="0">
      <selection activeCell="E33" sqref="E33"/>
    </sheetView>
  </sheetViews>
  <sheetFormatPr defaultColWidth="9.28515625" defaultRowHeight="14.25"/>
  <cols>
    <col min="1" max="1" width="4.28515625" style="4" customWidth="1"/>
    <col min="2" max="2" width="6.28515625" style="4" customWidth="1"/>
    <col min="3" max="3" width="34.5703125" style="4" customWidth="1"/>
    <col min="4" max="4" width="13.7109375" style="4" bestFit="1" customWidth="1"/>
    <col min="5" max="5" width="12.5703125" style="4" bestFit="1" customWidth="1"/>
    <col min="6" max="6" width="13.42578125" style="4" bestFit="1" customWidth="1"/>
    <col min="7" max="7" width="11.7109375" style="4" bestFit="1" customWidth="1"/>
    <col min="8" max="16384" width="9.28515625" style="4"/>
  </cols>
  <sheetData>
    <row r="1" spans="2:6" ht="15">
      <c r="B1" s="59"/>
    </row>
    <row r="2" spans="2:6" ht="14.25" customHeight="1">
      <c r="B2" s="249" t="s">
        <v>397</v>
      </c>
      <c r="C2" s="249"/>
      <c r="D2" s="249"/>
      <c r="E2" s="249"/>
      <c r="F2" s="249"/>
    </row>
    <row r="3" spans="2:6" ht="14.25" customHeight="1">
      <c r="B3" s="249" t="s">
        <v>468</v>
      </c>
      <c r="C3" s="249"/>
      <c r="D3" s="249"/>
      <c r="E3" s="249"/>
      <c r="F3" s="249"/>
    </row>
    <row r="4" spans="2:6" ht="14.25" customHeight="1">
      <c r="B4" s="249" t="s">
        <v>266</v>
      </c>
      <c r="C4" s="249"/>
      <c r="D4" s="249"/>
      <c r="E4" s="249"/>
      <c r="F4" s="249"/>
    </row>
    <row r="5" spans="2:6" ht="15">
      <c r="B5" s="37"/>
      <c r="C5" s="60"/>
      <c r="D5" s="60"/>
      <c r="E5" s="60"/>
      <c r="F5" s="60"/>
    </row>
    <row r="6" spans="2:6">
      <c r="F6" s="244" t="s">
        <v>481</v>
      </c>
    </row>
    <row r="7" spans="2:6" s="15" customFormat="1" ht="15" customHeight="1">
      <c r="B7" s="253" t="s">
        <v>189</v>
      </c>
      <c r="C7" s="256" t="s">
        <v>16</v>
      </c>
      <c r="D7" s="260" t="s">
        <v>398</v>
      </c>
      <c r="E7" s="261"/>
      <c r="F7" s="262"/>
    </row>
    <row r="8" spans="2:6" s="15" customFormat="1" ht="45">
      <c r="B8" s="254"/>
      <c r="C8" s="256"/>
      <c r="D8" s="17" t="s">
        <v>366</v>
      </c>
      <c r="E8" s="17" t="s">
        <v>233</v>
      </c>
      <c r="F8" s="17" t="s">
        <v>204</v>
      </c>
    </row>
    <row r="9" spans="2:6" s="15" customFormat="1" ht="15">
      <c r="B9" s="255"/>
      <c r="C9" s="257"/>
      <c r="D9" s="17" t="s">
        <v>8</v>
      </c>
      <c r="E9" s="17" t="s">
        <v>10</v>
      </c>
      <c r="F9" s="17" t="s">
        <v>226</v>
      </c>
    </row>
    <row r="10" spans="2:6" s="5" customFormat="1">
      <c r="B10" s="62">
        <v>1</v>
      </c>
      <c r="C10" s="27" t="s">
        <v>237</v>
      </c>
      <c r="D10" s="2"/>
      <c r="E10" s="27"/>
      <c r="F10" s="27"/>
    </row>
    <row r="11" spans="2:6" s="5" customFormat="1">
      <c r="B11" s="22">
        <v>2</v>
      </c>
      <c r="C11" s="27" t="s">
        <v>269</v>
      </c>
      <c r="D11" s="2"/>
      <c r="E11" s="126">
        <f>F3.1!G13</f>
        <v>8.19</v>
      </c>
      <c r="F11" s="126">
        <f>E11</f>
        <v>8.19</v>
      </c>
    </row>
    <row r="12" spans="2:6" s="5" customFormat="1" ht="15">
      <c r="B12" s="22">
        <v>3</v>
      </c>
      <c r="C12" s="29" t="s">
        <v>221</v>
      </c>
      <c r="D12" s="139"/>
      <c r="E12" s="145">
        <f>F3.1!H13</f>
        <v>8.1916013000000003</v>
      </c>
      <c r="F12" s="145">
        <f>E12</f>
        <v>8.1916013000000003</v>
      </c>
    </row>
    <row r="13" spans="2:6" s="5" customFormat="1" ht="15">
      <c r="B13" s="22">
        <v>4</v>
      </c>
      <c r="C13" s="27" t="s">
        <v>238</v>
      </c>
      <c r="D13" s="140">
        <f>D10+D11-D12</f>
        <v>0</v>
      </c>
      <c r="E13" s="140">
        <f>E10+E11-E12</f>
        <v>-1.6013000000008049E-3</v>
      </c>
      <c r="F13" s="140">
        <f>F10+F11-F12</f>
        <v>-1.6013000000008049E-3</v>
      </c>
    </row>
    <row r="14" spans="2:6" s="33" customFormat="1" ht="15">
      <c r="B14" s="63"/>
      <c r="C14" s="51"/>
      <c r="D14" s="61"/>
      <c r="E14" s="61"/>
      <c r="F14" s="61"/>
    </row>
    <row r="16" spans="2:6">
      <c r="B16" s="64"/>
    </row>
  </sheetData>
  <mergeCells count="6">
    <mergeCell ref="B2:F2"/>
    <mergeCell ref="B7:B9"/>
    <mergeCell ref="C7:C9"/>
    <mergeCell ref="D7:F7"/>
    <mergeCell ref="B4:F4"/>
    <mergeCell ref="B3:F3"/>
  </mergeCells>
  <pageMargins left="1.02" right="0.25" top="1" bottom="1" header="0.25" footer="0.2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B1:M14"/>
  <sheetViews>
    <sheetView showGridLines="0" view="pageBreakPreview" zoomScale="70" zoomScaleNormal="106" zoomScaleSheetLayoutView="70" workbookViewId="0">
      <selection activeCell="E33" sqref="E33"/>
    </sheetView>
  </sheetViews>
  <sheetFormatPr defaultRowHeight="14.25"/>
  <cols>
    <col min="1" max="1" width="4.28515625" style="5" customWidth="1"/>
    <col min="2" max="2" width="5.42578125" style="5" customWidth="1"/>
    <col min="3" max="3" width="14.85546875" style="5" customWidth="1"/>
    <col min="4" max="4" width="19.85546875" style="5" customWidth="1"/>
    <col min="5" max="5" width="30.28515625" style="5" customWidth="1"/>
    <col min="6" max="6" width="22" style="5" customWidth="1"/>
    <col min="7" max="7" width="20.42578125" style="5" customWidth="1"/>
    <col min="8" max="8" width="20.28515625" style="5" customWidth="1"/>
    <col min="9" max="9" width="35" style="5" customWidth="1"/>
    <col min="10" max="10" width="11.140625" style="5" customWidth="1"/>
    <col min="11" max="11" width="33.42578125" style="5" customWidth="1"/>
    <col min="12" max="12" width="53.42578125" style="5" customWidth="1"/>
    <col min="13" max="13" width="13.28515625" style="5" bestFit="1" customWidth="1"/>
    <col min="14" max="16384" width="9.140625" style="5"/>
  </cols>
  <sheetData>
    <row r="1" spans="2:13" ht="15">
      <c r="B1" s="25"/>
    </row>
    <row r="2" spans="2:13" ht="15">
      <c r="B2" s="249" t="s">
        <v>397</v>
      </c>
      <c r="C2" s="249"/>
      <c r="D2" s="249"/>
      <c r="E2" s="249"/>
      <c r="F2" s="249"/>
      <c r="G2" s="249"/>
      <c r="H2" s="249"/>
      <c r="I2" s="249"/>
      <c r="J2" s="249"/>
      <c r="K2" s="249"/>
      <c r="L2" s="249"/>
    </row>
    <row r="3" spans="2:13" ht="15">
      <c r="B3" s="249" t="s">
        <v>468</v>
      </c>
      <c r="C3" s="249"/>
      <c r="D3" s="249"/>
      <c r="E3" s="249"/>
      <c r="F3" s="249"/>
      <c r="G3" s="249"/>
      <c r="H3" s="249"/>
      <c r="I3" s="249"/>
      <c r="J3" s="249"/>
      <c r="K3" s="249"/>
      <c r="L3" s="249"/>
    </row>
    <row r="4" spans="2:13" ht="15">
      <c r="B4" s="249" t="s">
        <v>267</v>
      </c>
      <c r="C4" s="249"/>
      <c r="D4" s="249"/>
      <c r="E4" s="249"/>
      <c r="F4" s="249"/>
      <c r="G4" s="249"/>
      <c r="H4" s="249"/>
      <c r="I4" s="249"/>
      <c r="J4" s="249"/>
      <c r="K4" s="249"/>
      <c r="L4" s="249"/>
    </row>
    <row r="5" spans="2:13" ht="15">
      <c r="K5" s="36"/>
      <c r="L5" s="244" t="s">
        <v>481</v>
      </c>
    </row>
    <row r="6" spans="2:13" ht="78.75" customHeight="1">
      <c r="B6" s="17" t="s">
        <v>189</v>
      </c>
      <c r="C6" s="24" t="s">
        <v>239</v>
      </c>
      <c r="D6" s="31" t="s">
        <v>241</v>
      </c>
      <c r="E6" s="24" t="s">
        <v>240</v>
      </c>
      <c r="F6" s="31" t="s">
        <v>243</v>
      </c>
      <c r="G6" s="31" t="s">
        <v>246</v>
      </c>
      <c r="H6" s="31" t="s">
        <v>247</v>
      </c>
      <c r="I6" s="31" t="s">
        <v>260</v>
      </c>
      <c r="J6" s="239" t="s">
        <v>242</v>
      </c>
      <c r="K6" s="31" t="s">
        <v>248</v>
      </c>
      <c r="L6" s="31" t="s">
        <v>182</v>
      </c>
      <c r="M6" s="26"/>
    </row>
    <row r="7" spans="2:13" s="33" customFormat="1" ht="21" customHeight="1">
      <c r="B7" s="22"/>
      <c r="C7" s="31" t="s">
        <v>398</v>
      </c>
      <c r="D7" s="30"/>
      <c r="E7" s="30"/>
      <c r="F7" s="30"/>
      <c r="G7" s="30"/>
      <c r="H7" s="30"/>
      <c r="I7" s="30"/>
      <c r="J7" s="30"/>
      <c r="K7" s="31"/>
      <c r="L7" s="32"/>
      <c r="M7" s="25"/>
    </row>
    <row r="8" spans="2:13" ht="46.5" customHeight="1">
      <c r="B8" s="22">
        <v>1</v>
      </c>
      <c r="C8" s="22"/>
      <c r="D8" s="27"/>
      <c r="E8" s="71" t="s">
        <v>469</v>
      </c>
      <c r="F8" s="138"/>
      <c r="G8" s="138">
        <v>1.56</v>
      </c>
      <c r="H8" s="138">
        <f>15625522/10^7</f>
        <v>1.5625522000000001</v>
      </c>
      <c r="I8" s="27"/>
      <c r="J8" s="27"/>
      <c r="K8" s="27"/>
      <c r="L8" s="27"/>
    </row>
    <row r="9" spans="2:13" ht="294" customHeight="1">
      <c r="B9" s="22">
        <v>2</v>
      </c>
      <c r="C9" s="22"/>
      <c r="D9" s="27"/>
      <c r="E9" s="71" t="s">
        <v>470</v>
      </c>
      <c r="F9" s="138"/>
      <c r="G9" s="138">
        <v>4.9000000000000004</v>
      </c>
      <c r="H9" s="138">
        <f>49005761/10^7</f>
        <v>4.9005761000000003</v>
      </c>
      <c r="I9" s="27"/>
      <c r="J9" s="27"/>
      <c r="K9" s="27"/>
      <c r="L9" s="69" t="s">
        <v>480</v>
      </c>
    </row>
    <row r="10" spans="2:13" ht="54" customHeight="1">
      <c r="B10" s="22">
        <v>3</v>
      </c>
      <c r="C10" s="22"/>
      <c r="D10" s="27"/>
      <c r="E10" s="166" t="s">
        <v>471</v>
      </c>
      <c r="F10" s="138"/>
      <c r="G10" s="138">
        <v>1.7</v>
      </c>
      <c r="H10" s="138">
        <f>16963839/10^7</f>
        <v>1.6963839000000001</v>
      </c>
      <c r="I10" s="27"/>
      <c r="J10" s="27"/>
      <c r="K10" s="27"/>
      <c r="L10" s="27"/>
    </row>
    <row r="11" spans="2:13" ht="46.5" customHeight="1">
      <c r="B11" s="226"/>
      <c r="C11" s="226"/>
      <c r="D11" s="227"/>
      <c r="E11" s="40" t="s">
        <v>472</v>
      </c>
      <c r="F11" s="228"/>
      <c r="G11" s="228">
        <v>0.03</v>
      </c>
      <c r="H11" s="228">
        <f>320891/10^7</f>
        <v>3.2089100000000002E-2</v>
      </c>
      <c r="I11" s="227"/>
      <c r="J11" s="227"/>
      <c r="K11" s="227"/>
      <c r="L11" s="227"/>
    </row>
    <row r="12" spans="2:13" ht="20.25" customHeight="1">
      <c r="B12" s="27"/>
      <c r="C12" s="27" t="s">
        <v>7</v>
      </c>
      <c r="D12" s="27"/>
      <c r="F12" s="27"/>
      <c r="G12" s="138">
        <v>0</v>
      </c>
      <c r="H12" s="27">
        <v>0</v>
      </c>
      <c r="I12" s="27"/>
      <c r="J12" s="27"/>
      <c r="K12" s="27"/>
      <c r="L12" s="27"/>
    </row>
    <row r="13" spans="2:13" ht="20.25" customHeight="1">
      <c r="B13" s="27"/>
      <c r="C13" s="24" t="s">
        <v>137</v>
      </c>
      <c r="D13" s="148"/>
      <c r="E13" s="138"/>
      <c r="F13" s="131">
        <f>SUM(F8:F12)</f>
        <v>0</v>
      </c>
      <c r="G13" s="131">
        <f>ROUND(SUM(G8:G12),2)</f>
        <v>8.19</v>
      </c>
      <c r="H13" s="131">
        <f>SUM(H8:H12)</f>
        <v>8.1916013000000003</v>
      </c>
      <c r="I13" s="27"/>
      <c r="J13" s="27"/>
      <c r="K13" s="27"/>
      <c r="L13" s="27"/>
    </row>
    <row r="14" spans="2:13" ht="36.75" customHeight="1">
      <c r="B14" s="63" t="s">
        <v>244</v>
      </c>
      <c r="C14" s="52" t="s">
        <v>245</v>
      </c>
    </row>
  </sheetData>
  <mergeCells count="3">
    <mergeCell ref="B2:L2"/>
    <mergeCell ref="B3:L3"/>
    <mergeCell ref="B4:L4"/>
  </mergeCells>
  <pageMargins left="0.02" right="0" top="1" bottom="1" header="0.25" footer="0.25"/>
  <pageSetup paperSize="9" scale="54" orientation="landscape" r:id="rId1"/>
  <headerFooter alignWithMargins="0"/>
</worksheet>
</file>

<file path=xl/worksheets/sheet9.xml><?xml version="1.0" encoding="utf-8"?>
<worksheet xmlns="http://schemas.openxmlformats.org/spreadsheetml/2006/main" xmlns:r="http://schemas.openxmlformats.org/officeDocument/2006/relationships">
  <dimension ref="B2:D21"/>
  <sheetViews>
    <sheetView showGridLines="0" view="pageBreakPreview" zoomScaleSheetLayoutView="100" workbookViewId="0">
      <selection activeCell="E33" sqref="E33"/>
    </sheetView>
  </sheetViews>
  <sheetFormatPr defaultColWidth="9.28515625" defaultRowHeight="14.25"/>
  <cols>
    <col min="1" max="2" width="9.28515625" style="98"/>
    <col min="3" max="3" width="42" style="98" customWidth="1"/>
    <col min="4" max="4" width="16.28515625" style="98" customWidth="1"/>
    <col min="5" max="16384" width="9.28515625" style="98"/>
  </cols>
  <sheetData>
    <row r="2" spans="2:4" ht="14.25" customHeight="1">
      <c r="B2" s="249" t="s">
        <v>397</v>
      </c>
      <c r="C2" s="249"/>
      <c r="D2" s="249"/>
    </row>
    <row r="3" spans="2:4" ht="14.25" customHeight="1">
      <c r="B3" s="249" t="s">
        <v>468</v>
      </c>
      <c r="C3" s="249"/>
      <c r="D3" s="249"/>
    </row>
    <row r="4" spans="2:4" ht="14.25" customHeight="1">
      <c r="B4" s="249" t="s">
        <v>294</v>
      </c>
      <c r="C4" s="249"/>
      <c r="D4" s="249"/>
    </row>
    <row r="5" spans="2:4">
      <c r="D5" s="241" t="s">
        <v>481</v>
      </c>
    </row>
    <row r="6" spans="2:4" ht="15" customHeight="1">
      <c r="B6" s="258" t="s">
        <v>189</v>
      </c>
      <c r="C6" s="269" t="s">
        <v>16</v>
      </c>
      <c r="D6" s="258" t="s">
        <v>398</v>
      </c>
    </row>
    <row r="7" spans="2:4">
      <c r="B7" s="258"/>
      <c r="C7" s="269"/>
      <c r="D7" s="258"/>
    </row>
    <row r="8" spans="2:4" ht="15">
      <c r="B8" s="258"/>
      <c r="C8" s="269"/>
      <c r="D8" s="101" t="s">
        <v>3</v>
      </c>
    </row>
    <row r="9" spans="2:4" ht="15">
      <c r="B9" s="102">
        <v>1</v>
      </c>
      <c r="C9" s="28" t="s">
        <v>295</v>
      </c>
      <c r="D9" s="128">
        <f>F3.1!H13</f>
        <v>8.1916013000000003</v>
      </c>
    </row>
    <row r="10" spans="2:4">
      <c r="B10" s="28"/>
      <c r="C10" s="28"/>
      <c r="D10" s="117"/>
    </row>
    <row r="11" spans="2:4" ht="15">
      <c r="B11" s="102">
        <v>2</v>
      </c>
      <c r="C11" s="103" t="s">
        <v>183</v>
      </c>
      <c r="D11" s="117"/>
    </row>
    <row r="12" spans="2:4">
      <c r="B12" s="28"/>
      <c r="C12" s="28" t="s">
        <v>188</v>
      </c>
      <c r="D12" s="117"/>
    </row>
    <row r="13" spans="2:4">
      <c r="B13" s="28"/>
      <c r="C13" s="28" t="s">
        <v>187</v>
      </c>
      <c r="D13" s="117"/>
    </row>
    <row r="14" spans="2:4">
      <c r="B14" s="28"/>
      <c r="C14" s="28" t="s">
        <v>7</v>
      </c>
      <c r="D14" s="117"/>
    </row>
    <row r="15" spans="2:4" ht="15">
      <c r="B15" s="28"/>
      <c r="C15" s="103" t="s">
        <v>181</v>
      </c>
      <c r="D15" s="128">
        <f>SUM(D12:D14)</f>
        <v>0</v>
      </c>
    </row>
    <row r="16" spans="2:4">
      <c r="B16" s="28"/>
      <c r="C16" s="28"/>
      <c r="D16" s="117"/>
    </row>
    <row r="17" spans="2:4">
      <c r="B17" s="102">
        <v>3</v>
      </c>
      <c r="C17" s="28" t="s">
        <v>0</v>
      </c>
      <c r="D17" s="117"/>
    </row>
    <row r="18" spans="2:4">
      <c r="B18" s="102">
        <v>4</v>
      </c>
      <c r="C18" s="28" t="s">
        <v>184</v>
      </c>
      <c r="D18" s="117">
        <f>D9</f>
        <v>8.1916013000000003</v>
      </c>
    </row>
    <row r="19" spans="2:4">
      <c r="B19" s="102">
        <v>5</v>
      </c>
      <c r="C19" s="28" t="s">
        <v>296</v>
      </c>
      <c r="D19" s="117"/>
    </row>
    <row r="20" spans="2:4" ht="15">
      <c r="B20" s="28"/>
      <c r="C20" s="28"/>
      <c r="D20" s="123"/>
    </row>
    <row r="21" spans="2:4" ht="15">
      <c r="B21" s="102">
        <v>6</v>
      </c>
      <c r="C21" s="103" t="s">
        <v>297</v>
      </c>
      <c r="D21" s="128">
        <f>D15+D17+D18+D19</f>
        <v>8.1916013000000003</v>
      </c>
    </row>
  </sheetData>
  <mergeCells count="6">
    <mergeCell ref="B2:D2"/>
    <mergeCell ref="D6:D7"/>
    <mergeCell ref="B6:B8"/>
    <mergeCell ref="C6:C8"/>
    <mergeCell ref="B4:D4"/>
    <mergeCell ref="B3:D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vt:i4>
      </vt:variant>
    </vt:vector>
  </HeadingPairs>
  <TitlesOfParts>
    <vt:vector size="24" baseType="lpstr">
      <vt:lpstr>Checklist</vt:lpstr>
      <vt:lpstr>F1</vt:lpstr>
      <vt:lpstr>F2</vt:lpstr>
      <vt:lpstr>F2.1</vt:lpstr>
      <vt:lpstr>F2.2</vt:lpstr>
      <vt:lpstr>F2.3</vt:lpstr>
      <vt:lpstr>F3</vt:lpstr>
      <vt:lpstr>F3.1</vt:lpstr>
      <vt:lpstr>F3.2</vt:lpstr>
      <vt:lpstr>F4</vt:lpstr>
      <vt:lpstr>F5</vt:lpstr>
      <vt:lpstr>F6</vt:lpstr>
      <vt:lpstr>F7</vt:lpstr>
      <vt:lpstr>F8</vt:lpstr>
      <vt:lpstr>F9</vt:lpstr>
      <vt:lpstr>F10</vt:lpstr>
      <vt:lpstr>F11</vt:lpstr>
      <vt:lpstr>F11.1</vt:lpstr>
      <vt:lpstr>F12</vt:lpstr>
      <vt:lpstr>F13</vt:lpstr>
      <vt:lpstr>F15</vt:lpstr>
      <vt:lpstr>Checklist!Print_Area</vt:lpstr>
      <vt:lpstr>'F1'!Print_Area</vt:lpstr>
      <vt:lpstr>'F9'!Print_Area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acer</cp:lastModifiedBy>
  <cp:lastPrinted>2025-06-20T09:14:59Z</cp:lastPrinted>
  <dcterms:created xsi:type="dcterms:W3CDTF">2004-07-28T05:30:50Z</dcterms:created>
  <dcterms:modified xsi:type="dcterms:W3CDTF">2025-06-20T09:37:37Z</dcterms:modified>
</cp:coreProperties>
</file>