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9585" yWindow="270" windowWidth="10920" windowHeight="5160" tabRatio="633" activeTab="20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0" sheetId="81" r:id="rId16"/>
    <sheet name="F11" sheetId="107" r:id="rId17"/>
    <sheet name="F11.1" sheetId="111" r:id="rId18"/>
    <sheet name="F12" sheetId="110" r:id="rId19"/>
    <sheet name="F13" sheetId="71" r:id="rId20"/>
    <sheet name="F15" sheetId="91" r:id="rId21"/>
  </sheets>
  <externalReferences>
    <externalReference r:id="rId22"/>
    <externalReference r:id="rId23"/>
    <externalReference r:id="rId24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Checklist!$A$1:$E$28</definedName>
    <definedName name="_xlnm.Print_Area" localSheetId="1">'F1'!$A$1:$J$24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81"/>
  <c r="G23"/>
  <c r="K13" i="102" l="1"/>
  <c r="J13"/>
  <c r="F13"/>
  <c r="M13" l="1"/>
  <c r="N10" i="71"/>
  <c r="M10"/>
  <c r="L10"/>
  <c r="K10"/>
  <c r="J10"/>
  <c r="I10"/>
  <c r="H10"/>
  <c r="G10"/>
  <c r="F10"/>
  <c r="E10"/>
  <c r="D10"/>
  <c r="C10"/>
  <c r="N8"/>
  <c r="M8"/>
  <c r="L8"/>
  <c r="K8"/>
  <c r="J8"/>
  <c r="I8"/>
  <c r="H8"/>
  <c r="G8"/>
  <c r="F8"/>
  <c r="E8"/>
  <c r="D8"/>
  <c r="C8"/>
  <c r="B9" i="91" l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1" s="1"/>
  <c r="B32" s="1"/>
  <c r="D25" i="67" l="1"/>
  <c r="F19" i="110" l="1"/>
  <c r="I9" i="102" l="1"/>
  <c r="M9"/>
  <c r="N9"/>
  <c r="I10"/>
  <c r="M10"/>
  <c r="N10"/>
  <c r="I11"/>
  <c r="M11"/>
  <c r="N11"/>
  <c r="I12"/>
  <c r="M12"/>
  <c r="N12"/>
  <c r="I13"/>
  <c r="N13"/>
  <c r="I14"/>
  <c r="M14"/>
  <c r="N14"/>
  <c r="I15"/>
  <c r="M15"/>
  <c r="N15"/>
  <c r="I16"/>
  <c r="M16"/>
  <c r="N16"/>
  <c r="I17"/>
  <c r="M17"/>
  <c r="N17"/>
  <c r="I18"/>
  <c r="M18"/>
  <c r="N18"/>
  <c r="I19"/>
  <c r="M19"/>
  <c r="N19"/>
  <c r="I20"/>
  <c r="M20"/>
  <c r="N20"/>
  <c r="I21"/>
  <c r="M21"/>
  <c r="N21"/>
  <c r="B12"/>
  <c r="B13" s="1"/>
  <c r="B14" s="1"/>
  <c r="B15" s="1"/>
  <c r="B16" s="1"/>
  <c r="B17" s="1"/>
  <c r="B18" s="1"/>
  <c r="B19" s="1"/>
  <c r="B20" s="1"/>
  <c r="B21" s="1"/>
  <c r="O13" l="1"/>
  <c r="O21"/>
  <c r="O19"/>
  <c r="O17"/>
  <c r="O15"/>
  <c r="O11"/>
  <c r="O9"/>
  <c r="O20"/>
  <c r="O16"/>
  <c r="O14"/>
  <c r="O12"/>
  <c r="O10"/>
  <c r="O18"/>
  <c r="D12" i="71" l="1"/>
  <c r="E12"/>
  <c r="F12"/>
  <c r="G12"/>
  <c r="H12"/>
  <c r="I12"/>
  <c r="J12"/>
  <c r="C12"/>
  <c r="O10"/>
  <c r="N12"/>
  <c r="M12"/>
  <c r="L12"/>
  <c r="O8" l="1"/>
  <c r="O12" s="1"/>
  <c r="K12"/>
  <c r="E34" i="106" l="1"/>
  <c r="G16" i="58" s="1"/>
  <c r="H16" s="1"/>
  <c r="F34" i="106"/>
  <c r="D26"/>
  <c r="D34" s="1"/>
  <c r="B1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H12" i="101" l="1"/>
  <c r="G12"/>
  <c r="E15" i="110" l="1"/>
  <c r="E14"/>
  <c r="E13"/>
  <c r="E18" s="1"/>
  <c r="E12"/>
  <c r="E17" i="104"/>
  <c r="E17" i="110" l="1"/>
  <c r="E16"/>
  <c r="D33" i="67"/>
  <c r="F17" i="104" l="1"/>
  <c r="F18" i="110"/>
  <c r="F17"/>
  <c r="F16"/>
  <c r="G16" s="1"/>
  <c r="G14"/>
  <c r="G12"/>
  <c r="G11"/>
  <c r="G10"/>
  <c r="G9"/>
  <c r="G13"/>
  <c r="G20" i="58"/>
  <c r="G19" i="110"/>
  <c r="G15"/>
  <c r="H20" i="58" l="1"/>
  <c r="F20"/>
  <c r="E10" i="104"/>
  <c r="G17" i="110"/>
  <c r="E12" i="104"/>
  <c r="F12" s="1"/>
  <c r="G18" i="110"/>
  <c r="D12" i="105"/>
  <c r="E11" i="104" l="1"/>
  <c r="F11" s="1"/>
  <c r="F10"/>
  <c r="D15" i="109" l="1"/>
  <c r="D54" i="103"/>
  <c r="D14" i="105"/>
  <c r="D12" i="103"/>
  <c r="E21" i="107"/>
  <c r="E14"/>
  <c r="E16" s="1"/>
  <c r="E32" l="1"/>
  <c r="D20" i="103"/>
  <c r="E34" i="107" l="1"/>
  <c r="D35" i="67"/>
  <c r="D38" i="68"/>
  <c r="D40" s="1"/>
  <c r="D18" i="69"/>
  <c r="D13" i="93"/>
  <c r="F12" i="101"/>
  <c r="D61" i="103"/>
  <c r="D56"/>
  <c r="D55"/>
  <c r="D46"/>
  <c r="D36"/>
  <c r="D37" s="1"/>
  <c r="D39" s="1"/>
  <c r="D41" s="1"/>
  <c r="D18" i="105"/>
  <c r="F18"/>
  <c r="E18"/>
  <c r="F12" i="66" l="1"/>
  <c r="G12" s="1"/>
  <c r="F11"/>
  <c r="G11" s="1"/>
  <c r="F13"/>
  <c r="E11" i="103"/>
  <c r="F11" s="1"/>
  <c r="E10" i="105"/>
  <c r="F10" s="1"/>
  <c r="F20" s="1"/>
  <c r="E10" i="103"/>
  <c r="D47"/>
  <c r="D49" s="1"/>
  <c r="D9" i="109"/>
  <c r="D18" s="1"/>
  <c r="D21" s="1"/>
  <c r="E11" i="105"/>
  <c r="E12" s="1"/>
  <c r="F12" s="1"/>
  <c r="D20"/>
  <c r="D21" s="1"/>
  <c r="D20" i="69"/>
  <c r="F11" i="58"/>
  <c r="D57" i="103"/>
  <c r="D58" s="1"/>
  <c r="F13" i="58"/>
  <c r="F14" i="66" l="1"/>
  <c r="E13" i="104" s="1"/>
  <c r="G13" i="66"/>
  <c r="G14" s="1"/>
  <c r="E20" i="105"/>
  <c r="F10" i="103"/>
  <c r="F12" s="1"/>
  <c r="E12"/>
  <c r="E14"/>
  <c r="F13" i="93"/>
  <c r="D51" i="103"/>
  <c r="D60"/>
  <c r="D59" s="1"/>
  <c r="F19" s="1"/>
  <c r="E13" i="93"/>
  <c r="E14" i="105"/>
  <c r="F11"/>
  <c r="F14" s="1"/>
  <c r="F21" s="1"/>
  <c r="F22" s="1"/>
  <c r="H15" i="58" s="1"/>
  <c r="D21" i="69"/>
  <c r="F15" i="58"/>
  <c r="F13" i="104" l="1"/>
  <c r="H11" i="58"/>
  <c r="F14" i="104" s="1"/>
  <c r="G11" i="58"/>
  <c r="E14" i="104" s="1"/>
  <c r="F14" i="103"/>
  <c r="E21" i="105"/>
  <c r="E22" s="1"/>
  <c r="G15" i="58" s="1"/>
  <c r="D62" i="103"/>
  <c r="E22" i="102"/>
  <c r="H12" i="58"/>
  <c r="F15" i="103" l="1"/>
  <c r="G12" i="58"/>
  <c r="E15" i="103" s="1"/>
  <c r="E16" l="1"/>
  <c r="E18" s="1"/>
  <c r="E20" s="1"/>
  <c r="E22" s="1"/>
  <c r="G13" i="58" s="1"/>
  <c r="E17" i="103"/>
  <c r="F17"/>
  <c r="F16"/>
  <c r="F18" s="1"/>
  <c r="F20" s="1"/>
  <c r="F22" s="1"/>
  <c r="H13" i="58" s="1"/>
  <c r="F16"/>
  <c r="V21" i="107"/>
  <c r="U21"/>
  <c r="T21"/>
  <c r="S21"/>
  <c r="R21"/>
  <c r="Q21"/>
  <c r="P21"/>
  <c r="O21"/>
  <c r="N21"/>
  <c r="M21"/>
  <c r="L21"/>
  <c r="K21"/>
  <c r="J21"/>
  <c r="I21"/>
  <c r="H21"/>
  <c r="G21"/>
  <c r="F21"/>
  <c r="V14"/>
  <c r="V16" s="1"/>
  <c r="U14"/>
  <c r="U16" s="1"/>
  <c r="T14"/>
  <c r="T16" s="1"/>
  <c r="S14"/>
  <c r="S16" s="1"/>
  <c r="R14"/>
  <c r="R16" s="1"/>
  <c r="Q14"/>
  <c r="Q16" s="1"/>
  <c r="P14"/>
  <c r="P16" s="1"/>
  <c r="O14"/>
  <c r="O16" s="1"/>
  <c r="N14"/>
  <c r="N16" s="1"/>
  <c r="M14"/>
  <c r="M16" s="1"/>
  <c r="L14"/>
  <c r="L16" s="1"/>
  <c r="K14"/>
  <c r="K16" s="1"/>
  <c r="J14"/>
  <c r="J16" s="1"/>
  <c r="I14"/>
  <c r="I16" s="1"/>
  <c r="H14"/>
  <c r="H16" s="1"/>
  <c r="G14"/>
  <c r="G16" s="1"/>
  <c r="F14"/>
  <c r="F16" s="1"/>
  <c r="H19" i="58"/>
  <c r="H21" s="1"/>
  <c r="F19"/>
  <c r="F21" s="1"/>
  <c r="T32" i="107" l="1"/>
  <c r="S32"/>
  <c r="G32"/>
  <c r="G34" s="1"/>
  <c r="K32"/>
  <c r="K34" s="1"/>
  <c r="O32"/>
  <c r="O34" s="1"/>
  <c r="G19" i="58"/>
  <c r="G21" s="1"/>
  <c r="H32" i="107"/>
  <c r="L32"/>
  <c r="P32"/>
  <c r="F32"/>
  <c r="J32"/>
  <c r="N32"/>
  <c r="R32"/>
  <c r="V32"/>
  <c r="I32"/>
  <c r="M32"/>
  <c r="Q32"/>
  <c r="U32"/>
  <c r="R34" l="1"/>
  <c r="V34"/>
  <c r="P34"/>
  <c r="H34"/>
  <c r="T34"/>
  <c r="L34"/>
  <c r="I34"/>
  <c r="M34"/>
  <c r="F34"/>
  <c r="Q34"/>
  <c r="J34"/>
  <c r="U34"/>
  <c r="N34"/>
  <c r="S34"/>
  <c r="B20" i="58"/>
  <c r="B21" s="1"/>
  <c r="B51" i="107" l="1"/>
  <c r="B52" s="1"/>
  <c r="B53" s="1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B11" i="105" l="1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B21" i="105" l="1"/>
  <c r="B22" s="1"/>
  <c r="B12" i="58"/>
  <c r="B13" s="1"/>
  <c r="B14" s="1"/>
  <c r="B15" s="1"/>
  <c r="B16" s="1"/>
  <c r="B17" s="1"/>
  <c r="B41" i="81" l="1"/>
  <c r="B42" s="1"/>
  <c r="B37"/>
  <c r="B38" s="1"/>
  <c r="B33"/>
  <c r="B34" s="1"/>
  <c r="B27"/>
  <c r="B28" s="1"/>
  <c r="B29" s="1"/>
  <c r="B30" s="1"/>
  <c r="B23"/>
  <c r="B24" s="1"/>
  <c r="B19"/>
  <c r="B20" s="1"/>
  <c r="B15"/>
  <c r="B16" s="1"/>
  <c r="B9" i="57"/>
  <c r="B10" s="1"/>
  <c r="B11" s="1"/>
  <c r="B12" s="1"/>
  <c r="B13" l="1"/>
  <c r="B14" s="1"/>
  <c r="B15" s="1"/>
  <c r="B12" i="66"/>
  <c r="B13" s="1"/>
  <c r="B14" s="1"/>
  <c r="B27" i="67"/>
  <c r="B28" s="1"/>
  <c r="B29" s="1"/>
  <c r="B30" s="1"/>
  <c r="B16" i="57" l="1"/>
  <c r="B17" s="1"/>
  <c r="B18" s="1"/>
  <c r="B19" s="1"/>
  <c r="B20" s="1"/>
  <c r="B21" s="1"/>
  <c r="B22" s="1"/>
  <c r="B23" l="1"/>
  <c r="B24" s="1"/>
  <c r="B25" s="1"/>
  <c r="B26" s="1"/>
  <c r="B27" s="1"/>
  <c r="B28" s="1"/>
  <c r="F14" i="58"/>
  <c r="F17" s="1"/>
  <c r="F22" s="1"/>
  <c r="G22" l="1"/>
  <c r="E15" i="104"/>
  <c r="E18"/>
  <c r="E20"/>
  <c r="G14" i="58"/>
  <c r="G17"/>
  <c r="H22"/>
  <c r="F15" i="104"/>
  <c r="F18"/>
  <c r="F20"/>
  <c r="H14" i="58"/>
  <c r="H17"/>
</calcChain>
</file>

<file path=xl/sharedStrings.xml><?xml version="1.0" encoding="utf-8"?>
<sst xmlns="http://schemas.openxmlformats.org/spreadsheetml/2006/main" count="914" uniqueCount="477">
  <si>
    <t>Equity</t>
  </si>
  <si>
    <t>Reference</t>
  </si>
  <si>
    <t>S.No.</t>
  </si>
  <si>
    <t>Actual</t>
  </si>
  <si>
    <t>(Rs. Crore)</t>
  </si>
  <si>
    <t>Form 1</t>
  </si>
  <si>
    <t>Title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</si>
  <si>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</si>
  <si>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</si>
  <si>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</si>
  <si>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</si>
  <si>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</si>
  <si>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</si>
  <si>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</si>
  <si>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</si>
  <si>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</si>
  <si>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</si>
  <si>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</si>
  <si>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</si>
  <si>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</si>
  <si>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</si>
  <si>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</si>
  <si>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</si>
  <si>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</si>
  <si>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</si>
  <si>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</si>
  <si>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</si>
  <si>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</si>
  <si>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</si>
  <si>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</si>
  <si>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</si>
  <si>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</si>
  <si>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</si>
  <si>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</si>
  <si>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</si>
  <si>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</si>
  <si>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</si>
  <si>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</si>
  <si>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MW</t>
  </si>
  <si>
    <t>Target Availability for full recovery of AFC</t>
  </si>
  <si>
    <t>%</t>
  </si>
  <si>
    <t>Target PLF for Incentive</t>
  </si>
  <si>
    <t>Scheduled Generation</t>
  </si>
  <si>
    <t>MU</t>
  </si>
  <si>
    <t>Normative Auxiliary Energy Consumption</t>
  </si>
  <si>
    <t>Net Generation</t>
  </si>
  <si>
    <t>Normative Gross Station Heat Rate</t>
  </si>
  <si>
    <t>kcal/kWh</t>
  </si>
  <si>
    <t>Normative Secondary Fuel Oil Consumption</t>
  </si>
  <si>
    <t>ml/kWh</t>
  </si>
  <si>
    <t>Normative Transit Loss</t>
  </si>
  <si>
    <t>Transit Loss</t>
  </si>
  <si>
    <t xml:space="preserve">Note: </t>
  </si>
  <si>
    <t>Total Working Capital requirement</t>
  </si>
  <si>
    <t>Gross Generation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</si>
  <si>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</si>
  <si>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</si>
  <si>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</si>
  <si>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</si>
  <si>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</si>
  <si>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</si>
  <si>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</si>
  <si>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</si>
  <si>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</si>
  <si>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</si>
  <si>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</si>
  <si>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</si>
  <si>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</si>
  <si>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</si>
  <si>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</si>
  <si>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</si>
  <si>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</si>
  <si>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</si>
  <si>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</si>
  <si>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</si>
  <si>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</si>
  <si>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</si>
  <si>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</si>
  <si>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</si>
  <si>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</si>
  <si>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</si>
  <si>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</si>
  <si>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</si>
  <si>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</si>
  <si>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</si>
  <si>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</si>
  <si>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</si>
  <si>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</si>
  <si>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</si>
  <si>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</si>
  <si>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</si>
  <si>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</si>
  <si>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</si>
  <si>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</si>
  <si>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</si>
  <si>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</si>
  <si>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</si>
  <si>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</si>
  <si>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</si>
  <si>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</si>
  <si>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</si>
  <si>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</si>
  <si>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</si>
  <si>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</si>
  <si>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</si>
  <si>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</si>
  <si>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</si>
  <si>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</si>
  <si>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</si>
  <si>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</si>
  <si>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</si>
  <si>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</si>
  <si>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</si>
  <si>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</si>
  <si>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</si>
  <si>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</si>
  <si>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</si>
  <si>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</si>
  <si>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</si>
  <si>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</si>
  <si>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</si>
  <si>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</si>
  <si>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</si>
  <si>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</si>
  <si>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</si>
  <si>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</si>
  <si>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</si>
  <si>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</si>
  <si>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</si>
  <si>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</si>
  <si>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</si>
  <si>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</si>
  <si>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</si>
  <si>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</si>
  <si>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</si>
  <si>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</si>
  <si>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</si>
  <si>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</si>
  <si>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</si>
  <si>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</si>
  <si>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</si>
  <si>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</si>
  <si>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</si>
  <si>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</si>
  <si>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</si>
  <si>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</si>
  <si>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</si>
  <si>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</si>
  <si>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</si>
  <si>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</si>
  <si>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</si>
  <si>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Revenue from sale of electricity</t>
  </si>
  <si>
    <t>Non-Tariff Income</t>
  </si>
  <si>
    <t>Actual/Projected Availability</t>
  </si>
  <si>
    <t>Actual/Projected PLF</t>
  </si>
  <si>
    <t>Actual/Projected Gross Generation</t>
  </si>
  <si>
    <t>Actual/Projected Auxiliary Energy Consumption</t>
  </si>
  <si>
    <t>Actual/Projected Gross Station Heat Rate</t>
  </si>
  <si>
    <t>Actual/Projected Secondary Fuel Oil Consumption</t>
  </si>
  <si>
    <t>Actual/Projected Transit Loss</t>
  </si>
  <si>
    <t>Form 12</t>
  </si>
  <si>
    <t>Unit 1 / Station 1</t>
  </si>
  <si>
    <t>Unit 2 / Station 2</t>
  </si>
  <si>
    <t xml:space="preserve">Depreciation </t>
  </si>
  <si>
    <t>Addition of Loan during the year</t>
  </si>
  <si>
    <t>Form 13</t>
  </si>
  <si>
    <t>Total Revenue</t>
  </si>
  <si>
    <t>Auxiliary Consumption</t>
  </si>
  <si>
    <t>Normative Availability (%)</t>
  </si>
  <si>
    <t>Availability</t>
  </si>
  <si>
    <t>Plant Load Factor (PLF)</t>
  </si>
  <si>
    <t>Secondary Fuel Oil Consumption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</si>
  <si>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</si>
  <si>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</si>
  <si>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</si>
  <si>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</si>
  <si>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</si>
  <si>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</si>
  <si>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</si>
  <si>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</si>
  <si>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</si>
  <si>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</si>
  <si>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</si>
  <si>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</si>
  <si>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</si>
  <si>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Total Cost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</si>
  <si>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</si>
  <si>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</si>
  <si>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</si>
  <si>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</si>
  <si>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</si>
  <si>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</si>
  <si>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</si>
  <si>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</si>
  <si>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</si>
  <si>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</si>
  <si>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</si>
  <si>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</si>
  <si>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</si>
  <si>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</si>
  <si>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</si>
  <si>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</si>
  <si>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</si>
  <si>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Gross Station Heat Rate</t>
  </si>
  <si>
    <t>True-Up requirement</t>
  </si>
  <si>
    <t>Legend</t>
  </si>
  <si>
    <t xml:space="preserve">Details of outages should be submitted for each Unit of each station separately </t>
  </si>
  <si>
    <t>R &amp; M Expenses</t>
  </si>
  <si>
    <t>Installed Capacity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</si>
  <si>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</si>
  <si>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</si>
  <si>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</si>
  <si>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</si>
  <si>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</si>
  <si>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</si>
  <si>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</si>
  <si>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</si>
  <si>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Type of Thermal Generating Station (Pithead/Non-Pithead)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</si>
  <si>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</si>
  <si>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</si>
  <si>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</si>
  <si>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</si>
  <si>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</si>
  <si>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</si>
  <si>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</si>
  <si>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 xml:space="preserve">April-March     </t>
  </si>
  <si>
    <t>Claimed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</si>
  <si>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</si>
  <si>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</si>
  <si>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</si>
  <si>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</si>
  <si>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</si>
  <si>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</si>
  <si>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</si>
  <si>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</si>
  <si>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</si>
  <si>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</si>
  <si>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</si>
  <si>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</si>
  <si>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</si>
  <si>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</si>
  <si>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</si>
  <si>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</si>
  <si>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</si>
  <si>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</si>
  <si>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</si>
  <si>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</si>
  <si>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</si>
  <si>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</si>
  <si>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</si>
  <si>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</si>
  <si>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</si>
  <si>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</si>
  <si>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</si>
  <si>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</si>
  <si>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</si>
  <si>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</si>
  <si>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</si>
  <si>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</si>
  <si>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</si>
  <si>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</si>
  <si>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</si>
  <si>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</si>
  <si>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</si>
  <si>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</si>
  <si>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</si>
  <si>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</si>
  <si>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</si>
  <si>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</si>
  <si>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</si>
  <si>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</si>
  <si>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</si>
  <si>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</si>
  <si>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</si>
  <si>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</si>
  <si>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</si>
  <si>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</si>
  <si>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</si>
  <si>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</si>
  <si>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</si>
  <si>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</si>
  <si>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</si>
  <si>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</si>
  <si>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</si>
  <si>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</si>
  <si>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</si>
  <si>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</si>
  <si>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</si>
  <si>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</si>
  <si>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</si>
  <si>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</si>
  <si>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</si>
  <si>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10: Operational parameters</t>
  </si>
  <si>
    <t>Form 3.2:  Financing of Additional Capitalisation</t>
  </si>
  <si>
    <t>Additional capitalisation</t>
  </si>
  <si>
    <t>Others (Please Specify)</t>
  </si>
  <si>
    <t>Total (2+3+4+5)</t>
  </si>
  <si>
    <t>Opening Quantity</t>
  </si>
  <si>
    <t>Opening quantity of coal</t>
  </si>
  <si>
    <t>Value ot stock</t>
  </si>
  <si>
    <t>MT</t>
  </si>
  <si>
    <t>Procurement</t>
  </si>
  <si>
    <t>Quantity of coal suppllied by the coal company</t>
  </si>
  <si>
    <t>Coal supplied by coal company (3+4)</t>
  </si>
  <si>
    <t>Normative transit and handling loss</t>
  </si>
  <si>
    <t>Net coal supplied</t>
  </si>
  <si>
    <t>Price</t>
  </si>
  <si>
    <t>Amount charged by coal company</t>
  </si>
  <si>
    <t>Adjustment in amount charged by the coal company</t>
  </si>
  <si>
    <t>Handling, sampling and such other similar charges</t>
  </si>
  <si>
    <t>Total amount charged (8+9+10)</t>
  </si>
  <si>
    <t>D</t>
  </si>
  <si>
    <t>Transportation</t>
  </si>
  <si>
    <t>Transportation charges</t>
  </si>
  <si>
    <t>By rail</t>
  </si>
  <si>
    <t>By road</t>
  </si>
  <si>
    <t>By ship</t>
  </si>
  <si>
    <t>Adjustment in amount charged by the coal transporter</t>
  </si>
  <si>
    <t>Demurrage charges, if any</t>
  </si>
  <si>
    <t>Total Transportation charges (12+13+14+15)</t>
  </si>
  <si>
    <t>Total amount charged for coal supplied including transportation (11+16)</t>
  </si>
  <si>
    <t>E</t>
  </si>
  <si>
    <t>Landed cost of coal (2+17)/(1+7)</t>
  </si>
  <si>
    <t>Rs./MT</t>
  </si>
  <si>
    <t>Blending Ratio (Domestic/Imported)</t>
  </si>
  <si>
    <t>Weighted average cost of coal for preceding three months</t>
  </si>
  <si>
    <t>F</t>
  </si>
  <si>
    <t>Quality</t>
  </si>
  <si>
    <t>kcal/kg</t>
  </si>
  <si>
    <t>GCV of Domestic Coal supplied as per bill of Coal Company</t>
  </si>
  <si>
    <t>GCV of Imported Coal supplied as per bill Coal Company</t>
  </si>
  <si>
    <t>Weighted average GCV of coal as Billed</t>
  </si>
  <si>
    <t>GCV of Domestic Coal supplied as received at Station</t>
  </si>
  <si>
    <t>GCV of Imported Coal of opening stock as received at Station</t>
  </si>
  <si>
    <t>Weighted average GCV of coal as Received</t>
  </si>
  <si>
    <t>Similar details to be furnished for secondary fuel oil for coal based thermal plants with appropriate units.</t>
  </si>
  <si>
    <t>As billed and as received GCV, quantity of coal, and price should be submitted as certified by statutory auditor.</t>
  </si>
  <si>
    <t>Details to be provided for each source separately. In case of more than one source, add additional column.</t>
  </si>
  <si>
    <t>Break up of the amount charged by the Coal Company is to be provided separately.</t>
  </si>
  <si>
    <t>COD</t>
  </si>
  <si>
    <t>Form 11: Fuel Details for computation of Energy Charge Rate</t>
  </si>
  <si>
    <t>Form 12: Energy Charge Rate</t>
  </si>
  <si>
    <t>Secondary Fuel oil consumption</t>
  </si>
  <si>
    <t>Calorific Value of Secondary Fuel</t>
  </si>
  <si>
    <t>Landed Price of Secondary Fuel</t>
  </si>
  <si>
    <t>Landed Price of Coal</t>
  </si>
  <si>
    <t>Specific Coal Consumption</t>
  </si>
  <si>
    <t>ECR</t>
  </si>
  <si>
    <t>AUX</t>
  </si>
  <si>
    <t>SFC</t>
  </si>
  <si>
    <t>CVSF</t>
  </si>
  <si>
    <t>kcal/ml</t>
  </si>
  <si>
    <t>LPSF</t>
  </si>
  <si>
    <t>Rs./ml</t>
  </si>
  <si>
    <t>CVPF</t>
  </si>
  <si>
    <t>LPPF</t>
  </si>
  <si>
    <t>Rs./kg</t>
  </si>
  <si>
    <t>kg/kWh</t>
  </si>
  <si>
    <t>GSHR</t>
  </si>
  <si>
    <t>Gross Calorific Value of Coal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</si>
  <si>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</si>
  <si>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</si>
  <si>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</si>
  <si>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</si>
  <si>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</si>
  <si>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</si>
  <si>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</si>
  <si>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</si>
  <si>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</si>
  <si>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</si>
  <si>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</si>
  <si>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</si>
  <si>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</si>
  <si>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</si>
  <si>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</si>
  <si>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</si>
  <si>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</si>
  <si>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</si>
  <si>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</si>
  <si>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</si>
  <si>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</si>
  <si>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</si>
  <si>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</si>
  <si>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</si>
  <si>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GCV of Domestic Coal of the opening stock as received at Station</t>
  </si>
  <si>
    <t>GCV of Imported Coal of the opening stock as per bill Coal Company</t>
  </si>
  <si>
    <t>GCV of Domestic Coal of the opening coal stock as per bill of Coal Company</t>
  </si>
  <si>
    <t>Cost of diesel in transporting coal through MGR system, if applicable</t>
  </si>
  <si>
    <t>Unfunded past liabilities of pension &amp; gratuity</t>
  </si>
  <si>
    <t>AFC +Energy Charges</t>
  </si>
  <si>
    <t>Adjustment in coal quantity supplied by the coal company (-/+)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</si>
  <si>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</si>
  <si>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</si>
  <si>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</si>
  <si>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</si>
  <si>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</si>
  <si>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</si>
  <si>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2023-24</t>
  </si>
  <si>
    <t>FY 2024-25</t>
  </si>
  <si>
    <t>Form 2.2: Administrative &amp; General Expenses</t>
  </si>
  <si>
    <t>Form 1: Summary Sheet</t>
  </si>
  <si>
    <t>Coal Rate</t>
  </si>
  <si>
    <t>Oil Rate</t>
  </si>
  <si>
    <t>Land &amp; Land Rights</t>
  </si>
  <si>
    <t>Lines &amp; Cable Network</t>
  </si>
  <si>
    <t>Capital Spares</t>
  </si>
  <si>
    <t>Other Civil Works</t>
  </si>
  <si>
    <t>Furniture&amp; Fixtures</t>
  </si>
  <si>
    <t>Computers</t>
  </si>
  <si>
    <t>Intangible Assets</t>
  </si>
  <si>
    <t>Land Deposits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</si>
  <si>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</si>
  <si>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</si>
  <si>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</si>
  <si>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</si>
  <si>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</si>
  <si>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</si>
  <si>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</si>
  <si>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</si>
  <si>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</si>
  <si>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</si>
  <si>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</si>
  <si>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</si>
  <si>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</si>
  <si>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</si>
  <si>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</si>
  <si>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</si>
  <si>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</si>
  <si>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</si>
  <si>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</si>
  <si>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</si>
  <si>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</si>
  <si>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</si>
  <si>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Telangana State Power Generation Corporation Limited</t>
  </si>
  <si>
    <t>Opening quantity of oil</t>
  </si>
  <si>
    <t>KL</t>
  </si>
  <si>
    <t>Rs.in Crs</t>
  </si>
  <si>
    <t>Quantity of oil suppllied by the oil company</t>
  </si>
  <si>
    <t>Adjustment in oil quantity supplied by the oil company</t>
  </si>
  <si>
    <t>oil supplied by oil company (3+4)</t>
  </si>
  <si>
    <t>Net oil supplied</t>
  </si>
  <si>
    <t>Amount charged by oil company</t>
  </si>
  <si>
    <t>Adjustment in amount charged by the oil company</t>
  </si>
  <si>
    <t>Adjustment in amount charged by the oil transporter</t>
  </si>
  <si>
    <t>Cost of diesel in transporting oil through MGR system, if
applicable</t>
  </si>
  <si>
    <t>Total amount charged for oil supplied including transportation (11+16)</t>
  </si>
  <si>
    <t>Landed cost of oil (2+17)/(1+7)</t>
  </si>
  <si>
    <t>Rs./KL</t>
  </si>
  <si>
    <t>Weighted average cost of oil for preceding three months</t>
  </si>
  <si>
    <t xml:space="preserve">GCV of Domestic Oil of the opening Oil stock as per bill of Oil Company
</t>
  </si>
  <si>
    <t>kcal/litre</t>
  </si>
  <si>
    <t>GCV of Domestic Oil supplied as per bill of Oil Company</t>
  </si>
  <si>
    <t xml:space="preserve">GCV of Imported Oil of the opening stock as per bill Oil Company 
</t>
  </si>
  <si>
    <t>GCV of Imported Oil supplied as per bill Oil Company</t>
  </si>
  <si>
    <t>Weighted average GCV of Oil as Billed</t>
  </si>
  <si>
    <t xml:space="preserve">GCV of Domestic Oil of the opening stock as received at Station
</t>
  </si>
  <si>
    <t>GCV of Domestic Oil supplied as received at Station</t>
  </si>
  <si>
    <t xml:space="preserve">GCV of Imported Oil of opening stock as received at Station
</t>
  </si>
  <si>
    <t>GCV of Imported Oil of opening stock as received at Station</t>
  </si>
  <si>
    <t>Weighted average GCV of Oil as Received</t>
  </si>
  <si>
    <t xml:space="preserve">GCV DETAILS TO BE FURNISHED BY COAL &amp; COMMERCIAL </t>
  </si>
  <si>
    <t>-</t>
  </si>
  <si>
    <t>Fuel (savings)/charge year end adjustment</t>
  </si>
  <si>
    <t>Fixed charges disallowed as per TGSLDC Availability</t>
  </si>
  <si>
    <t>TGSPDCL (70.55%)</t>
  </si>
  <si>
    <t>TGNPDCL (29.45%)</t>
  </si>
  <si>
    <t xml:space="preserve">      &lt;RTS-B&gt;</t>
  </si>
  <si>
    <t>RTS-B</t>
  </si>
  <si>
    <t>17.10.1971</t>
  </si>
  <si>
    <t>Non-Pit Head</t>
  </si>
  <si>
    <t>Enclosed as Annexure</t>
  </si>
  <si>
    <t>1). In case actual availability is less or more than normative value, the modification in the formula need to be done accordingly.</t>
  </si>
  <si>
    <t>Rs.in Cr.</t>
  </si>
  <si>
    <t>(Rs. in Cr.)</t>
  </si>
  <si>
    <t>(Rs.in Cr.)</t>
  </si>
  <si>
    <t>Form 9:  Planned &amp; Forced Outages</t>
  </si>
  <si>
    <t>Fixed charges reduced prorata to actual capitalisation</t>
  </si>
</sst>
</file>

<file path=xl/styles.xml><?xml version="1.0" encoding="utf-8"?>
<styleSheet xmlns="http://schemas.openxmlformats.org/spreadsheetml/2006/main">
  <numFmts count="13">
    <numFmt numFmtId="43" formatCode="_ * #,##0.00_ ;_ * \-#,##0.00_ ;_ * &quot;-&quot;??_ ;_ @_ "/>
    <numFmt numFmtId="164" formatCode="&quot;$&quot;#,##0.00_);[Red]\(&quot;$&quot;#,##0.00\)"/>
    <numFmt numFmtId="165" formatCode="_(* #,##0.00_);_(* \(#,##0.00\);_(* &quot;-&quot;??_);_(@_)"/>
    <numFmt numFmtId="166" formatCode="_-* #,##0.00_-;\-* #,##0.00_-;_-* &quot;-&quot;??_-;_-@_-"/>
    <numFmt numFmtId="167" formatCode="0.00_)"/>
    <numFmt numFmtId="168" formatCode="&quot;ß&quot;#,##0.00_);\(&quot;ß&quot;#,##0.00\)"/>
    <numFmt numFmtId="169" formatCode="0.0000"/>
    <numFmt numFmtId="170" formatCode="0.0000000"/>
    <numFmt numFmtId="171" formatCode="0.000"/>
    <numFmt numFmtId="172" formatCode="dd\.mm\.yyyy"/>
    <numFmt numFmtId="173" formatCode="_ * #,##0.000_ ;_ * \-#,##0.000_ ;_ * &quot;-&quot;???_ ;_ @_ "/>
    <numFmt numFmtId="174" formatCode="_(* #,##0.000_);_(* \(#,##0.000\);_(* &quot;-&quot;??_);_(@_)"/>
    <numFmt numFmtId="175" formatCode="_ &quot;రూ&quot;\ * #,##0.00_ ;_ &quot;రూ&quot;\ * \-#,##0.00_ ;_ &quot;రూ&quot;\ * &quot;-&quot;??_ ;_ @_ "/>
  </numFmts>
  <fonts count="5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2"/>
      <color theme="1"/>
      <name val="Calibri"/>
      <family val="2"/>
      <scheme val="minor"/>
    </font>
    <font>
      <b/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4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783">
    <xf numFmtId="0" fontId="0" fillId="0" borderId="0"/>
    <xf numFmtId="0" fontId="11" fillId="0" borderId="0" applyNumberFormat="0" applyFill="0" applyBorder="0" applyAlignment="0" applyProtection="0"/>
    <xf numFmtId="0" fontId="12" fillId="0" borderId="1"/>
    <xf numFmtId="0" fontId="12" fillId="0" borderId="1"/>
    <xf numFmtId="38" fontId="13" fillId="2" borderId="0" applyNumberFormat="0" applyBorder="0" applyAlignment="0" applyProtection="0"/>
    <xf numFmtId="0" fontId="14" fillId="0" borderId="2" applyNumberFormat="0" applyAlignment="0" applyProtection="0">
      <alignment horizontal="left" vertical="center"/>
    </xf>
    <xf numFmtId="0" fontId="14" fillId="0" borderId="3">
      <alignment horizontal="left" vertical="center"/>
    </xf>
    <xf numFmtId="10" fontId="13" fillId="3" borderId="4" applyNumberFormat="0" applyBorder="0" applyAlignment="0" applyProtection="0"/>
    <xf numFmtId="37" fontId="15" fillId="0" borderId="0"/>
    <xf numFmtId="167" fontId="16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>
      <alignment vertical="center"/>
    </xf>
    <xf numFmtId="168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0" fontId="10" fillId="0" borderId="0"/>
    <xf numFmtId="0" fontId="18" fillId="0" borderId="0"/>
    <xf numFmtId="165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20" fillId="0" borderId="0"/>
    <xf numFmtId="9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0" fillId="0" borderId="0"/>
    <xf numFmtId="0" fontId="10" fillId="0" borderId="0"/>
    <xf numFmtId="0" fontId="8" fillId="0" borderId="0"/>
    <xf numFmtId="0" fontId="10" fillId="0" borderId="0" applyBorder="0" applyProtection="0"/>
    <xf numFmtId="168" fontId="1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6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175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5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2" fillId="0" borderId="0"/>
    <xf numFmtId="0" fontId="3" fillId="0" borderId="0" applyFont="0" applyFill="0" applyBorder="0" applyAlignment="0" applyProtection="0"/>
    <xf numFmtId="0" fontId="3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175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21" applyNumberFormat="0" applyFill="0" applyAlignment="0" applyProtection="0"/>
    <xf numFmtId="0" fontId="37" fillId="0" borderId="22" applyNumberFormat="0" applyFill="0" applyAlignment="0" applyProtection="0"/>
    <xf numFmtId="0" fontId="38" fillId="0" borderId="23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10" borderId="24" applyNumberFormat="0" applyAlignment="0" applyProtection="0"/>
    <xf numFmtId="0" fontId="42" fillId="11" borderId="25" applyNumberFormat="0" applyAlignment="0" applyProtection="0"/>
    <xf numFmtId="0" fontId="43" fillId="11" borderId="24" applyNumberFormat="0" applyAlignment="0" applyProtection="0"/>
    <xf numFmtId="0" fontId="44" fillId="0" borderId="26" applyNumberFormat="0" applyFill="0" applyAlignment="0" applyProtection="0"/>
    <xf numFmtId="0" fontId="45" fillId="12" borderId="27" applyNumberFormat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29" applyNumberFormat="0" applyFill="0" applyAlignment="0" applyProtection="0"/>
    <xf numFmtId="0" fontId="49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4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4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9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50" fillId="9" borderId="0" applyNumberFormat="0" applyBorder="0" applyAlignment="0" applyProtection="0"/>
    <xf numFmtId="0" fontId="49" fillId="17" borderId="0" applyNumberFormat="0" applyBorder="0" applyAlignment="0" applyProtection="0"/>
    <xf numFmtId="0" fontId="49" fillId="21" borderId="0" applyNumberFormat="0" applyBorder="0" applyAlignment="0" applyProtection="0"/>
    <xf numFmtId="0" fontId="49" fillId="25" borderId="0" applyNumberFormat="0" applyBorder="0" applyAlignment="0" applyProtection="0"/>
    <xf numFmtId="0" fontId="49" fillId="29" borderId="0" applyNumberFormat="0" applyBorder="0" applyAlignment="0" applyProtection="0"/>
    <xf numFmtId="0" fontId="49" fillId="33" borderId="0" applyNumberFormat="0" applyBorder="0" applyAlignment="0" applyProtection="0"/>
    <xf numFmtId="0" fontId="49" fillId="37" borderId="0" applyNumberFormat="0" applyBorder="0" applyAlignment="0" applyProtection="0"/>
    <xf numFmtId="0" fontId="10" fillId="0" borderId="0"/>
    <xf numFmtId="10" fontId="13" fillId="3" borderId="2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13" borderId="28" applyNumberFormat="0" applyFont="0" applyAlignment="0" applyProtection="0"/>
    <xf numFmtId="0" fontId="51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314">
    <xf numFmtId="0" fontId="0" fillId="0" borderId="0" xfId="0"/>
    <xf numFmtId="0" fontId="9" fillId="0" borderId="0" xfId="10" applyFont="1" applyAlignment="1">
      <alignment horizontal="center" vertical="center"/>
    </xf>
    <xf numFmtId="0" fontId="17" fillId="0" borderId="4" xfId="14" applyFont="1" applyBorder="1" applyAlignment="1">
      <alignment horizontal="center" vertical="center"/>
    </xf>
    <xf numFmtId="0" fontId="17" fillId="0" borderId="4" xfId="14" applyFont="1" applyBorder="1">
      <alignment vertical="center"/>
    </xf>
    <xf numFmtId="0" fontId="17" fillId="0" borderId="0" xfId="10" applyFont="1"/>
    <xf numFmtId="0" fontId="17" fillId="0" borderId="0" xfId="10" applyFont="1" applyAlignment="1">
      <alignment vertical="center"/>
    </xf>
    <xf numFmtId="0" fontId="9" fillId="0" borderId="0" xfId="14" applyFont="1">
      <alignment vertical="center"/>
    </xf>
    <xf numFmtId="0" fontId="14" fillId="0" borderId="0" xfId="14" applyFont="1" applyAlignment="1">
      <alignment horizontal="right" vertical="center"/>
    </xf>
    <xf numFmtId="0" fontId="9" fillId="0" borderId="4" xfId="14" applyFont="1" applyBorder="1" applyAlignment="1">
      <alignment horizontal="center" vertical="center"/>
    </xf>
    <xf numFmtId="0" fontId="9" fillId="0" borderId="4" xfId="14" applyFont="1" applyBorder="1">
      <alignment vertical="center"/>
    </xf>
    <xf numFmtId="0" fontId="9" fillId="0" borderId="4" xfId="14" applyFont="1" applyBorder="1" applyAlignment="1">
      <alignment horizontal="left" vertical="center"/>
    </xf>
    <xf numFmtId="0" fontId="9" fillId="0" borderId="4" xfId="14" applyFont="1" applyBorder="1" applyAlignment="1">
      <alignment vertical="top" wrapText="1"/>
    </xf>
    <xf numFmtId="0" fontId="9" fillId="0" borderId="0" xfId="10" applyFont="1"/>
    <xf numFmtId="0" fontId="14" fillId="0" borderId="8" xfId="14" applyFont="1" applyBorder="1" applyAlignment="1">
      <alignment horizontal="center" vertical="center"/>
    </xf>
    <xf numFmtId="0" fontId="14" fillId="0" borderId="4" xfId="14" applyFont="1" applyBorder="1" applyAlignment="1">
      <alignment horizontal="center" vertical="center"/>
    </xf>
    <xf numFmtId="0" fontId="17" fillId="0" borderId="0" xfId="14" applyFont="1">
      <alignment vertical="center"/>
    </xf>
    <xf numFmtId="0" fontId="22" fillId="0" borderId="4" xfId="14" applyFont="1" applyBorder="1" applyAlignment="1">
      <alignment horizontal="center" vertical="center"/>
    </xf>
    <xf numFmtId="0" fontId="22" fillId="0" borderId="4" xfId="14" applyFont="1" applyBorder="1" applyAlignment="1">
      <alignment horizontal="center" vertical="center" wrapText="1"/>
    </xf>
    <xf numFmtId="0" fontId="17" fillId="0" borderId="4" xfId="14" applyFont="1" applyBorder="1" applyAlignment="1">
      <alignment horizontal="left" vertical="center"/>
    </xf>
    <xf numFmtId="0" fontId="17" fillId="5" borderId="4" xfId="14" applyFont="1" applyFill="1" applyBorder="1" applyAlignment="1">
      <alignment horizontal="left" vertical="center"/>
    </xf>
    <xf numFmtId="0" fontId="17" fillId="0" borderId="4" xfId="14" applyFont="1" applyBorder="1" applyAlignment="1">
      <alignment vertical="top" wrapText="1"/>
    </xf>
    <xf numFmtId="0" fontId="22" fillId="0" borderId="4" xfId="14" applyFont="1" applyBorder="1">
      <alignment vertical="center"/>
    </xf>
    <xf numFmtId="0" fontId="17" fillId="0" borderId="4" xfId="10" applyFont="1" applyBorder="1" applyAlignment="1">
      <alignment horizontal="center" vertical="center"/>
    </xf>
    <xf numFmtId="0" fontId="17" fillId="0" borderId="4" xfId="10" applyFont="1" applyBorder="1" applyAlignment="1">
      <alignment horizontal="center" vertical="center" wrapText="1"/>
    </xf>
    <xf numFmtId="0" fontId="22" fillId="0" borderId="7" xfId="10" applyFont="1" applyBorder="1" applyAlignment="1">
      <alignment horizontal="center" vertical="center" wrapText="1"/>
    </xf>
    <xf numFmtId="0" fontId="22" fillId="0" borderId="4" xfId="10" applyFont="1" applyBorder="1" applyAlignment="1">
      <alignment horizontal="center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horizontal="right" vertical="center"/>
    </xf>
    <xf numFmtId="0" fontId="22" fillId="0" borderId="0" xfId="14" applyFont="1" applyAlignment="1">
      <alignment horizontal="right" vertical="center"/>
    </xf>
    <xf numFmtId="0" fontId="17" fillId="0" borderId="4" xfId="1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4" xfId="10" applyFont="1" applyBorder="1" applyAlignment="1">
      <alignment horizontal="left" vertical="center"/>
    </xf>
    <xf numFmtId="0" fontId="22" fillId="0" borderId="4" xfId="10" applyFont="1" applyBorder="1" applyAlignment="1">
      <alignment horizontal="left" vertical="center" wrapText="1"/>
    </xf>
    <xf numFmtId="0" fontId="22" fillId="0" borderId="4" xfId="10" applyFont="1" applyBorder="1" applyAlignment="1">
      <alignment horizontal="center" vertical="center" wrapText="1"/>
    </xf>
    <xf numFmtId="0" fontId="22" fillId="0" borderId="4" xfId="10" applyFont="1" applyBorder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4" applyFont="1" applyAlignment="1">
      <alignment horizontal="center" vertical="center"/>
    </xf>
    <xf numFmtId="0" fontId="17" fillId="0" borderId="0" xfId="10" applyFont="1" applyAlignment="1">
      <alignment horizontal="center" vertical="center"/>
    </xf>
    <xf numFmtId="0" fontId="22" fillId="0" borderId="0" xfId="10" applyFont="1" applyAlignment="1">
      <alignment horizontal="center" vertical="center"/>
    </xf>
    <xf numFmtId="0" fontId="22" fillId="0" borderId="0" xfId="14" applyFont="1">
      <alignment vertical="center"/>
    </xf>
    <xf numFmtId="0" fontId="17" fillId="0" borderId="4" xfId="10" applyFont="1" applyBorder="1" applyAlignment="1">
      <alignment horizontal="left" vertical="center" wrapText="1"/>
    </xf>
    <xf numFmtId="0" fontId="22" fillId="0" borderId="0" xfId="14" applyFont="1" applyAlignment="1">
      <alignment horizontal="center" vertical="center" wrapText="1"/>
    </xf>
    <xf numFmtId="0" fontId="22" fillId="0" borderId="4" xfId="10" applyFont="1" applyBorder="1" applyAlignment="1">
      <alignment vertical="center"/>
    </xf>
    <xf numFmtId="0" fontId="17" fillId="0" borderId="4" xfId="10" applyFont="1" applyBorder="1" applyAlignment="1">
      <alignment horizontal="right" vertical="center"/>
    </xf>
    <xf numFmtId="0" fontId="17" fillId="0" borderId="4" xfId="10" applyFont="1" applyBorder="1"/>
    <xf numFmtId="0" fontId="22" fillId="0" borderId="4" xfId="10" applyFont="1" applyBorder="1"/>
    <xf numFmtId="0" fontId="22" fillId="0" borderId="0" xfId="10" applyFont="1" applyAlignment="1">
      <alignment horizontal="justify" vertical="top" wrapText="1"/>
    </xf>
    <xf numFmtId="0" fontId="17" fillId="0" borderId="0" xfId="10" applyFont="1" applyAlignment="1">
      <alignment horizontal="left"/>
    </xf>
    <xf numFmtId="0" fontId="17" fillId="0" borderId="4" xfId="10" applyFont="1" applyBorder="1" applyAlignment="1">
      <alignment wrapText="1"/>
    </xf>
    <xf numFmtId="0" fontId="17" fillId="0" borderId="0" xfId="10" applyFont="1" applyAlignment="1">
      <alignment horizontal="left" vertical="center"/>
    </xf>
    <xf numFmtId="0" fontId="17" fillId="0" borderId="0" xfId="10" applyFont="1" applyAlignment="1">
      <alignment horizontal="right" vertical="center"/>
    </xf>
    <xf numFmtId="0" fontId="23" fillId="0" borderId="0" xfId="10" applyFont="1" applyAlignment="1">
      <alignment horizontal="left" vertical="center"/>
    </xf>
    <xf numFmtId="0" fontId="23" fillId="0" borderId="0" xfId="10" applyFont="1" applyAlignment="1">
      <alignment vertical="center"/>
    </xf>
    <xf numFmtId="0" fontId="23" fillId="0" borderId="0" xfId="10" applyFont="1" applyAlignment="1">
      <alignment horizontal="center" vertical="center"/>
    </xf>
    <xf numFmtId="0" fontId="17" fillId="0" borderId="4" xfId="10" quotePrefix="1" applyFont="1" applyBorder="1" applyAlignment="1">
      <alignment horizontal="left" vertical="top" wrapText="1"/>
    </xf>
    <xf numFmtId="0" fontId="17" fillId="0" borderId="4" xfId="10" applyFont="1" applyBorder="1" applyAlignment="1">
      <alignment horizontal="left"/>
    </xf>
    <xf numFmtId="0" fontId="22" fillId="0" borderId="4" xfId="10" applyFont="1" applyBorder="1" applyAlignment="1">
      <alignment horizontal="left"/>
    </xf>
    <xf numFmtId="0" fontId="17" fillId="0" borderId="0" xfId="14" applyFont="1" applyAlignment="1">
      <alignment horizontal="center" vertical="center"/>
    </xf>
    <xf numFmtId="0" fontId="17" fillId="0" borderId="4" xfId="10" applyFont="1" applyBorder="1" applyAlignment="1">
      <alignment horizontal="left" vertical="top" wrapText="1"/>
    </xf>
    <xf numFmtId="0" fontId="22" fillId="0" borderId="0" xfId="10" applyFont="1" applyAlignment="1">
      <alignment horizontal="left"/>
    </xf>
    <xf numFmtId="0" fontId="22" fillId="0" borderId="0" xfId="10" applyFont="1" applyAlignment="1">
      <alignment horizontal="right"/>
    </xf>
    <xf numFmtId="0" fontId="22" fillId="0" borderId="0" xfId="10" applyFont="1" applyAlignment="1">
      <alignment horizontal="left" vertical="center" wrapText="1"/>
    </xf>
    <xf numFmtId="0" fontId="17" fillId="0" borderId="7" xfId="10" applyFont="1" applyBorder="1" applyAlignment="1">
      <alignment horizontal="center" vertical="center"/>
    </xf>
    <xf numFmtId="0" fontId="23" fillId="0" borderId="0" xfId="10" applyFont="1" applyAlignment="1">
      <alignment horizontal="right" vertical="center"/>
    </xf>
    <xf numFmtId="0" fontId="17" fillId="0" borderId="0" xfId="10" applyFont="1" applyAlignment="1">
      <alignment horizontal="center"/>
    </xf>
    <xf numFmtId="0" fontId="22" fillId="4" borderId="13" xfId="68" applyFont="1" applyFill="1" applyBorder="1" applyAlignment="1">
      <alignment horizontal="center" vertical="center" wrapText="1"/>
    </xf>
    <xf numFmtId="0" fontId="22" fillId="4" borderId="14" xfId="68" applyFont="1" applyFill="1" applyBorder="1" applyAlignment="1">
      <alignment horizontal="center" vertical="center" wrapText="1"/>
    </xf>
    <xf numFmtId="0" fontId="14" fillId="0" borderId="0" xfId="14" applyFont="1" applyAlignment="1">
      <alignment horizontal="center" vertical="center"/>
    </xf>
    <xf numFmtId="0" fontId="22" fillId="0" borderId="9" xfId="14" applyFont="1" applyBorder="1" applyAlignment="1">
      <alignment horizontal="center" vertical="center" wrapText="1"/>
    </xf>
    <xf numFmtId="0" fontId="17" fillId="0" borderId="4" xfId="10" applyFont="1" applyBorder="1" applyAlignment="1">
      <alignment vertical="center" wrapText="1"/>
    </xf>
    <xf numFmtId="0" fontId="17" fillId="0" borderId="9" xfId="14" applyFont="1" applyBorder="1">
      <alignment vertical="center"/>
    </xf>
    <xf numFmtId="0" fontId="22" fillId="0" borderId="4" xfId="10" applyFont="1" applyBorder="1" applyAlignment="1">
      <alignment vertical="center" wrapText="1"/>
    </xf>
    <xf numFmtId="0" fontId="22" fillId="0" borderId="0" xfId="10" applyFont="1" applyAlignment="1">
      <alignment horizontal="centerContinuous" vertical="center"/>
    </xf>
    <xf numFmtId="0" fontId="22" fillId="4" borderId="4" xfId="10" quotePrefix="1" applyFont="1" applyFill="1" applyBorder="1" applyAlignment="1">
      <alignment horizontal="center" vertical="center" wrapText="1"/>
    </xf>
    <xf numFmtId="0" fontId="22" fillId="4" borderId="4" xfId="10" applyFont="1" applyFill="1" applyBorder="1" applyAlignment="1">
      <alignment horizontal="left" vertical="center" wrapText="1"/>
    </xf>
    <xf numFmtId="0" fontId="22" fillId="4" borderId="4" xfId="10" applyFont="1" applyFill="1" applyBorder="1" applyAlignment="1">
      <alignment horizontal="center" vertical="center"/>
    </xf>
    <xf numFmtId="0" fontId="17" fillId="4" borderId="4" xfId="14" applyFont="1" applyFill="1" applyBorder="1">
      <alignment vertical="center"/>
    </xf>
    <xf numFmtId="0" fontId="17" fillId="4" borderId="4" xfId="10" applyFont="1" applyFill="1" applyBorder="1" applyAlignment="1">
      <alignment horizontal="center" vertical="center"/>
    </xf>
    <xf numFmtId="0" fontId="17" fillId="4" borderId="4" xfId="10" applyFont="1" applyFill="1" applyBorder="1" applyAlignment="1">
      <alignment vertical="center" wrapText="1"/>
    </xf>
    <xf numFmtId="0" fontId="22" fillId="4" borderId="4" xfId="10" applyFont="1" applyFill="1" applyBorder="1" applyAlignment="1">
      <alignment vertical="center" wrapText="1"/>
    </xf>
    <xf numFmtId="0" fontId="17" fillId="4" borderId="4" xfId="10" applyFont="1" applyFill="1" applyBorder="1" applyAlignment="1">
      <alignment vertical="center"/>
    </xf>
    <xf numFmtId="0" fontId="22" fillId="4" borderId="0" xfId="10" applyFont="1" applyFill="1" applyAlignment="1">
      <alignment vertical="center"/>
    </xf>
    <xf numFmtId="0" fontId="17" fillId="4" borderId="0" xfId="10" applyFont="1" applyFill="1" applyAlignment="1">
      <alignment vertical="center"/>
    </xf>
    <xf numFmtId="0" fontId="17" fillId="0" borderId="0" xfId="14" applyFont="1" applyAlignment="1">
      <alignment horizontal="centerContinuous" vertical="center"/>
    </xf>
    <xf numFmtId="0" fontId="22" fillId="0" borderId="4" xfId="14" applyFont="1" applyBorder="1" applyAlignment="1">
      <alignment horizontal="left" vertical="center" wrapText="1"/>
    </xf>
    <xf numFmtId="0" fontId="17" fillId="0" borderId="4" xfId="14" quotePrefix="1" applyFont="1" applyBorder="1" applyAlignment="1">
      <alignment horizontal="center" vertical="center" wrapText="1"/>
    </xf>
    <xf numFmtId="0" fontId="17" fillId="0" borderId="4" xfId="14" applyFont="1" applyBorder="1" applyAlignment="1">
      <alignment horizontal="center" vertical="center" wrapText="1"/>
    </xf>
    <xf numFmtId="0" fontId="17" fillId="0" borderId="4" xfId="14" applyFont="1" applyBorder="1" applyAlignment="1">
      <alignment horizontal="left" vertical="center" wrapText="1"/>
    </xf>
    <xf numFmtId="0" fontId="25" fillId="0" borderId="4" xfId="14" applyFont="1" applyBorder="1" applyAlignment="1">
      <alignment horizontal="center" vertical="center" wrapText="1"/>
    </xf>
    <xf numFmtId="0" fontId="17" fillId="0" borderId="4" xfId="14" applyFont="1" applyBorder="1" applyAlignment="1">
      <alignment vertical="center" wrapText="1"/>
    </xf>
    <xf numFmtId="0" fontId="22" fillId="0" borderId="4" xfId="14" applyFont="1" applyBorder="1" applyAlignment="1">
      <alignment vertical="center" wrapText="1"/>
    </xf>
    <xf numFmtId="0" fontId="22" fillId="0" borderId="0" xfId="14" applyFont="1" applyAlignment="1">
      <alignment horizontal="left" vertical="center" wrapText="1"/>
    </xf>
    <xf numFmtId="0" fontId="17" fillId="0" borderId="0" xfId="14" quotePrefix="1" applyFont="1" applyAlignment="1">
      <alignment horizontal="center" vertical="center" wrapText="1"/>
    </xf>
    <xf numFmtId="0" fontId="17" fillId="0" borderId="0" xfId="10" applyFont="1" applyAlignment="1">
      <alignment horizontal="center" vertical="center" wrapText="1"/>
    </xf>
    <xf numFmtId="0" fontId="26" fillId="0" borderId="0" xfId="10" applyFont="1" applyAlignment="1">
      <alignment horizontal="left" vertical="center"/>
    </xf>
    <xf numFmtId="0" fontId="17" fillId="0" borderId="0" xfId="10" applyFont="1" applyAlignment="1">
      <alignment horizontal="justify" vertical="center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17" fillId="0" borderId="4" xfId="0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27" fillId="0" borderId="7" xfId="0" applyFont="1" applyBorder="1" applyAlignment="1">
      <alignment vertical="center"/>
    </xf>
    <xf numFmtId="0" fontId="28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9" fillId="0" borderId="0" xfId="10" applyFont="1" applyAlignment="1">
      <alignment vertical="center"/>
    </xf>
    <xf numFmtId="16" fontId="22" fillId="0" borderId="4" xfId="1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vertical="center" wrapText="1"/>
    </xf>
    <xf numFmtId="2" fontId="17" fillId="0" borderId="4" xfId="0" applyNumberFormat="1" applyFont="1" applyBorder="1" applyAlignment="1">
      <alignment horizontal="center" vertical="center"/>
    </xf>
    <xf numFmtId="2" fontId="17" fillId="0" borderId="4" xfId="0" applyNumberFormat="1" applyFont="1" applyBorder="1" applyAlignment="1">
      <alignment vertical="center"/>
    </xf>
    <xf numFmtId="0" fontId="17" fillId="0" borderId="4" xfId="0" applyFont="1" applyBorder="1" applyAlignment="1">
      <alignment horizontal="center" vertical="center" wrapText="1"/>
    </xf>
    <xf numFmtId="169" fontId="17" fillId="0" borderId="4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vertical="center"/>
    </xf>
    <xf numFmtId="2" fontId="17" fillId="0" borderId="4" xfId="0" applyNumberFormat="1" applyFont="1" applyBorder="1" applyAlignment="1">
      <alignment horizontal="right" vertical="center"/>
    </xf>
    <xf numFmtId="0" fontId="22" fillId="0" borderId="9" xfId="0" applyFont="1" applyBorder="1" applyAlignment="1">
      <alignment vertical="center" wrapText="1"/>
    </xf>
    <xf numFmtId="2" fontId="22" fillId="0" borderId="4" xfId="0" applyNumberFormat="1" applyFont="1" applyBorder="1" applyAlignment="1">
      <alignment vertical="center"/>
    </xf>
    <xf numFmtId="0" fontId="22" fillId="0" borderId="4" xfId="0" applyFont="1" applyBorder="1" applyAlignment="1">
      <alignment vertical="center" wrapText="1"/>
    </xf>
    <xf numFmtId="2" fontId="22" fillId="0" borderId="4" xfId="0" applyNumberFormat="1" applyFont="1" applyBorder="1" applyAlignment="1">
      <alignment horizontal="right" vertical="center"/>
    </xf>
    <xf numFmtId="2" fontId="17" fillId="0" borderId="4" xfId="10" applyNumberFormat="1" applyFont="1" applyBorder="1" applyAlignment="1">
      <alignment horizontal="center" vertical="center"/>
    </xf>
    <xf numFmtId="0" fontId="22" fillId="6" borderId="4" xfId="0" applyFont="1" applyFill="1" applyBorder="1" applyAlignment="1">
      <alignment vertical="center"/>
    </xf>
    <xf numFmtId="2" fontId="22" fillId="6" borderId="4" xfId="0" applyNumberFormat="1" applyFont="1" applyFill="1" applyBorder="1" applyAlignment="1">
      <alignment vertical="center"/>
    </xf>
    <xf numFmtId="2" fontId="17" fillId="0" borderId="4" xfId="10" applyNumberFormat="1" applyFont="1" applyBorder="1" applyAlignment="1">
      <alignment horizontal="center" vertical="center" wrapText="1"/>
    </xf>
    <xf numFmtId="2" fontId="22" fillId="6" borderId="4" xfId="0" applyNumberFormat="1" applyFont="1" applyFill="1" applyBorder="1" applyAlignment="1">
      <alignment horizontal="right" vertical="center"/>
    </xf>
    <xf numFmtId="2" fontId="22" fillId="6" borderId="4" xfId="14" applyNumberFormat="1" applyFont="1" applyFill="1" applyBorder="1">
      <alignment vertical="center"/>
    </xf>
    <xf numFmtId="2" fontId="22" fillId="6" borderId="4" xfId="10" applyNumberFormat="1" applyFont="1" applyFill="1" applyBorder="1" applyAlignment="1">
      <alignment vertical="center"/>
    </xf>
    <xf numFmtId="0" fontId="22" fillId="0" borderId="9" xfId="14" applyFont="1" applyBorder="1">
      <alignment vertical="center"/>
    </xf>
    <xf numFmtId="2" fontId="22" fillId="6" borderId="9" xfId="14" applyNumberFormat="1" applyFont="1" applyFill="1" applyBorder="1">
      <alignment vertical="center"/>
    </xf>
    <xf numFmtId="10" fontId="17" fillId="0" borderId="9" xfId="39" applyNumberFormat="1" applyFont="1" applyBorder="1" applyAlignment="1">
      <alignment vertical="center"/>
    </xf>
    <xf numFmtId="10" fontId="17" fillId="0" borderId="9" xfId="14" applyNumberFormat="1" applyFont="1" applyBorder="1">
      <alignment vertical="center"/>
    </xf>
    <xf numFmtId="10" fontId="22" fillId="6" borderId="9" xfId="14" applyNumberFormat="1" applyFont="1" applyFill="1" applyBorder="1">
      <alignment vertical="center"/>
    </xf>
    <xf numFmtId="2" fontId="17" fillId="0" borderId="9" xfId="14" applyNumberFormat="1" applyFont="1" applyBorder="1">
      <alignment vertical="center"/>
    </xf>
    <xf numFmtId="2" fontId="17" fillId="0" borderId="4" xfId="10" applyNumberFormat="1" applyFont="1" applyBorder="1" applyAlignment="1">
      <alignment vertical="center"/>
    </xf>
    <xf numFmtId="2" fontId="17" fillId="0" borderId="4" xfId="14" applyNumberFormat="1" applyFont="1" applyBorder="1" applyAlignment="1">
      <alignment horizontal="center" vertical="center"/>
    </xf>
    <xf numFmtId="2" fontId="22" fillId="6" borderId="4" xfId="14" applyNumberFormat="1" applyFont="1" applyFill="1" applyBorder="1" applyAlignment="1">
      <alignment horizontal="center" vertical="center"/>
    </xf>
    <xf numFmtId="2" fontId="17" fillId="0" borderId="4" xfId="14" applyNumberFormat="1" applyFont="1" applyBorder="1">
      <alignment vertical="center"/>
    </xf>
    <xf numFmtId="10" fontId="22" fillId="6" borderId="4" xfId="14" applyNumberFormat="1" applyFont="1" applyFill="1" applyBorder="1">
      <alignment vertical="center"/>
    </xf>
    <xf numFmtId="2" fontId="22" fillId="6" borderId="4" xfId="10" applyNumberFormat="1" applyFont="1" applyFill="1" applyBorder="1"/>
    <xf numFmtId="2" fontId="17" fillId="0" borderId="4" xfId="10" applyNumberFormat="1" applyFont="1" applyBorder="1" applyAlignment="1">
      <alignment horizontal="right" vertical="center"/>
    </xf>
    <xf numFmtId="2" fontId="22" fillId="0" borderId="4" xfId="14" applyNumberFormat="1" applyFont="1" applyBorder="1" applyAlignment="1">
      <alignment horizontal="center" vertical="center"/>
    </xf>
    <xf numFmtId="2" fontId="22" fillId="5" borderId="4" xfId="14" applyNumberFormat="1" applyFont="1" applyFill="1" applyBorder="1" applyAlignment="1">
      <alignment horizontal="center" vertical="center"/>
    </xf>
    <xf numFmtId="0" fontId="17" fillId="0" borderId="4" xfId="14" applyFont="1" applyBorder="1" applyAlignment="1">
      <alignment horizontal="right" vertical="center"/>
    </xf>
    <xf numFmtId="2" fontId="22" fillId="0" borderId="4" xfId="10" applyNumberFormat="1" applyFont="1" applyBorder="1" applyAlignment="1">
      <alignment vertical="center"/>
    </xf>
    <xf numFmtId="2" fontId="17" fillId="0" borderId="4" xfId="14" applyNumberFormat="1" applyFont="1" applyBorder="1" applyAlignment="1">
      <alignment horizontal="right" vertical="center"/>
    </xf>
    <xf numFmtId="2" fontId="17" fillId="0" borderId="4" xfId="10" applyNumberFormat="1" applyFont="1" applyBorder="1" applyAlignment="1">
      <alignment horizontal="right" vertical="center" wrapText="1"/>
    </xf>
    <xf numFmtId="0" fontId="17" fillId="0" borderId="9" xfId="14" applyFont="1" applyBorder="1" applyAlignment="1">
      <alignment horizontal="right" vertical="center"/>
    </xf>
    <xf numFmtId="2" fontId="22" fillId="6" borderId="9" xfId="14" applyNumberFormat="1" applyFont="1" applyFill="1" applyBorder="1" applyAlignment="1">
      <alignment horizontal="right" vertical="center"/>
    </xf>
    <xf numFmtId="2" fontId="17" fillId="6" borderId="9" xfId="14" applyNumberFormat="1" applyFont="1" applyFill="1" applyBorder="1">
      <alignment vertical="center"/>
    </xf>
    <xf numFmtId="2" fontId="22" fillId="0" borderId="4" xfId="10" applyNumberFormat="1" applyFont="1" applyBorder="1" applyAlignment="1">
      <alignment vertical="top" wrapText="1"/>
    </xf>
    <xf numFmtId="171" fontId="22" fillId="6" borderId="4" xfId="0" applyNumberFormat="1" applyFont="1" applyFill="1" applyBorder="1" applyAlignment="1">
      <alignment vertical="center"/>
    </xf>
    <xf numFmtId="171" fontId="17" fillId="0" borderId="4" xfId="0" applyNumberFormat="1" applyFont="1" applyBorder="1" applyAlignment="1">
      <alignment vertical="center"/>
    </xf>
    <xf numFmtId="171" fontId="22" fillId="6" borderId="4" xfId="14" applyNumberFormat="1" applyFont="1" applyFill="1" applyBorder="1" applyAlignment="1">
      <alignment horizontal="center" vertical="center"/>
    </xf>
    <xf numFmtId="10" fontId="17" fillId="0" borderId="0" xfId="14" applyNumberFormat="1" applyFont="1">
      <alignment vertical="center"/>
    </xf>
    <xf numFmtId="2" fontId="17" fillId="0" borderId="9" xfId="14" applyNumberFormat="1" applyFont="1" applyBorder="1" applyAlignment="1">
      <alignment horizontal="right" vertical="center"/>
    </xf>
    <xf numFmtId="2" fontId="17" fillId="6" borderId="4" xfId="10" applyNumberFormat="1" applyFont="1" applyFill="1" applyBorder="1" applyAlignment="1">
      <alignment horizontal="right" vertical="center"/>
    </xf>
    <xf numFmtId="2" fontId="17" fillId="6" borderId="4" xfId="10" applyNumberFormat="1" applyFont="1" applyFill="1" applyBorder="1" applyAlignment="1">
      <alignment horizontal="right" vertical="center" wrapText="1"/>
    </xf>
    <xf numFmtId="2" fontId="22" fillId="6" borderId="4" xfId="10" applyNumberFormat="1" applyFont="1" applyFill="1" applyBorder="1" applyAlignment="1">
      <alignment horizontal="right" vertical="center"/>
    </xf>
    <xf numFmtId="2" fontId="17" fillId="0" borderId="0" xfId="14" applyNumberFormat="1" applyFont="1">
      <alignment vertical="center"/>
    </xf>
    <xf numFmtId="1" fontId="17" fillId="0" borderId="0" xfId="14" applyNumberFormat="1" applyFont="1">
      <alignment vertical="center"/>
    </xf>
    <xf numFmtId="4" fontId="17" fillId="0" borderId="0" xfId="10" applyNumberFormat="1" applyFont="1" applyAlignment="1">
      <alignment vertical="center"/>
    </xf>
    <xf numFmtId="0" fontId="27" fillId="0" borderId="4" xfId="0" applyFont="1" applyBorder="1"/>
    <xf numFmtId="170" fontId="17" fillId="0" borderId="0" xfId="10" applyNumberFormat="1" applyFont="1" applyAlignment="1">
      <alignment vertical="center"/>
    </xf>
    <xf numFmtId="0" fontId="0" fillId="0" borderId="4" xfId="0" applyBorder="1"/>
    <xf numFmtId="43" fontId="17" fillId="0" borderId="4" xfId="71" applyFont="1" applyBorder="1" applyAlignment="1">
      <alignment horizontal="center" vertical="center"/>
    </xf>
    <xf numFmtId="43" fontId="17" fillId="0" borderId="4" xfId="71" applyFont="1" applyBorder="1" applyAlignment="1">
      <alignment vertical="center"/>
    </xf>
    <xf numFmtId="43" fontId="0" fillId="0" borderId="4" xfId="71" applyFont="1" applyBorder="1"/>
    <xf numFmtId="1" fontId="10" fillId="0" borderId="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2" fontId="22" fillId="0" borderId="4" xfId="10" applyNumberFormat="1" applyFont="1" applyBorder="1" applyAlignment="1">
      <alignment horizontal="right" vertical="center"/>
    </xf>
    <xf numFmtId="2" fontId="34" fillId="0" borderId="4" xfId="10" applyNumberFormat="1" applyFont="1" applyBorder="1" applyAlignment="1">
      <alignment horizontal="center" vertical="center"/>
    </xf>
    <xf numFmtId="0" fontId="34" fillId="0" borderId="8" xfId="10" applyFont="1" applyBorder="1" applyAlignment="1">
      <alignment horizontal="center" vertical="center" wrapText="1"/>
    </xf>
    <xf numFmtId="0" fontId="34" fillId="0" borderId="4" xfId="10" applyFont="1" applyBorder="1" applyAlignment="1">
      <alignment vertical="center" wrapText="1"/>
    </xf>
    <xf numFmtId="0" fontId="34" fillId="0" borderId="4" xfId="10" applyFont="1" applyBorder="1" applyAlignment="1">
      <alignment horizontal="center" vertical="center" wrapText="1"/>
    </xf>
    <xf numFmtId="2" fontId="33" fillId="0" borderId="4" xfId="10" applyNumberFormat="1" applyFont="1" applyBorder="1" applyAlignment="1">
      <alignment vertical="center"/>
    </xf>
    <xf numFmtId="10" fontId="24" fillId="0" borderId="30" xfId="0" applyNumberFormat="1" applyFont="1" applyBorder="1"/>
    <xf numFmtId="0" fontId="10" fillId="0" borderId="30" xfId="0" applyFont="1" applyBorder="1" applyAlignment="1">
      <alignment vertical="center"/>
    </xf>
    <xf numFmtId="2" fontId="10" fillId="0" borderId="30" xfId="0" applyNumberFormat="1" applyFont="1" applyBorder="1" applyAlignment="1">
      <alignment vertical="center"/>
    </xf>
    <xf numFmtId="1" fontId="10" fillId="0" borderId="30" xfId="0" applyNumberFormat="1" applyFont="1" applyBorder="1" applyAlignment="1">
      <alignment vertical="center"/>
    </xf>
    <xf numFmtId="0" fontId="24" fillId="0" borderId="30" xfId="0" applyFont="1" applyBorder="1" applyAlignment="1">
      <alignment wrapText="1"/>
    </xf>
    <xf numFmtId="43" fontId="24" fillId="0" borderId="30" xfId="0" applyNumberFormat="1" applyFont="1" applyBorder="1"/>
    <xf numFmtId="43" fontId="17" fillId="0" borderId="30" xfId="0" applyNumberFormat="1" applyFont="1" applyBorder="1"/>
    <xf numFmtId="10" fontId="17" fillId="0" borderId="30" xfId="0" applyNumberFormat="1" applyFont="1" applyBorder="1"/>
    <xf numFmtId="43" fontId="17" fillId="0" borderId="31" xfId="0" applyNumberFormat="1" applyFont="1" applyBorder="1"/>
    <xf numFmtId="0" fontId="17" fillId="0" borderId="30" xfId="0" applyFont="1" applyBorder="1"/>
    <xf numFmtId="0" fontId="24" fillId="0" borderId="30" xfId="0" applyFont="1" applyBorder="1"/>
    <xf numFmtId="9" fontId="24" fillId="0" borderId="30" xfId="0" applyNumberFormat="1" applyFont="1" applyBorder="1"/>
    <xf numFmtId="10" fontId="24" fillId="0" borderId="0" xfId="0" applyNumberFormat="1" applyFont="1"/>
    <xf numFmtId="0" fontId="17" fillId="0" borderId="30" xfId="0" applyFont="1" applyBorder="1" applyAlignment="1">
      <alignment wrapText="1"/>
    </xf>
    <xf numFmtId="1" fontId="10" fillId="0" borderId="20" xfId="0" applyNumberFormat="1" applyFont="1" applyBorder="1" applyAlignment="1">
      <alignment vertical="center"/>
    </xf>
    <xf numFmtId="2" fontId="34" fillId="0" borderId="20" xfId="10" applyNumberFormat="1" applyFont="1" applyBorder="1" applyAlignment="1">
      <alignment horizontal="right" vertical="center"/>
    </xf>
    <xf numFmtId="171" fontId="34" fillId="0" borderId="20" xfId="10" applyNumberFormat="1" applyFont="1" applyBorder="1" applyAlignment="1">
      <alignment horizontal="right" vertical="center"/>
    </xf>
    <xf numFmtId="2" fontId="34" fillId="0" borderId="20" xfId="10" applyNumberFormat="1" applyFont="1" applyBorder="1" applyAlignment="1">
      <alignment horizontal="center" vertical="center"/>
    </xf>
    <xf numFmtId="2" fontId="10" fillId="0" borderId="20" xfId="0" applyNumberFormat="1" applyFont="1" applyBorder="1" applyAlignment="1">
      <alignment vertical="center"/>
    </xf>
    <xf numFmtId="0" fontId="17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vertical="center"/>
    </xf>
    <xf numFmtId="2" fontId="22" fillId="0" borderId="30" xfId="10" applyNumberFormat="1" applyFont="1" applyBorder="1" applyAlignment="1">
      <alignment vertical="center"/>
    </xf>
    <xf numFmtId="0" fontId="22" fillId="0" borderId="30" xfId="1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/>
    </xf>
    <xf numFmtId="2" fontId="9" fillId="0" borderId="4" xfId="0" applyNumberFormat="1" applyFont="1" applyBorder="1" applyAlignment="1">
      <alignment vertical="center"/>
    </xf>
    <xf numFmtId="0" fontId="34" fillId="0" borderId="8" xfId="0" applyFont="1" applyBorder="1" applyAlignment="1">
      <alignment horizontal="center" vertical="center" wrapText="1"/>
    </xf>
    <xf numFmtId="0" fontId="34" fillId="0" borderId="4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2" fontId="33" fillId="6" borderId="4" xfId="0" applyNumberFormat="1" applyFont="1" applyFill="1" applyBorder="1" applyAlignment="1">
      <alignment horizontal="right" vertical="center"/>
    </xf>
    <xf numFmtId="0" fontId="34" fillId="0" borderId="0" xfId="14" applyFont="1">
      <alignment vertical="center"/>
    </xf>
    <xf numFmtId="0" fontId="0" fillId="0" borderId="30" xfId="0" applyBorder="1" applyAlignment="1">
      <alignment horizontal="center"/>
    </xf>
    <xf numFmtId="2" fontId="0" fillId="0" borderId="30" xfId="0" applyNumberFormat="1" applyBorder="1" applyAlignment="1">
      <alignment horizontal="center"/>
    </xf>
    <xf numFmtId="1" fontId="0" fillId="0" borderId="30" xfId="0" applyNumberFormat="1" applyBorder="1"/>
    <xf numFmtId="2" fontId="22" fillId="6" borderId="30" xfId="14" applyNumberFormat="1" applyFont="1" applyFill="1" applyBorder="1" applyAlignment="1">
      <alignment horizontal="center" vertical="center"/>
    </xf>
    <xf numFmtId="2" fontId="0" fillId="0" borderId="30" xfId="0" applyNumberFormat="1" applyBorder="1"/>
    <xf numFmtId="43" fontId="17" fillId="0" borderId="30" xfId="10" applyNumberFormat="1" applyFont="1" applyBorder="1"/>
    <xf numFmtId="43" fontId="17" fillId="5" borderId="30" xfId="14" applyNumberFormat="1" applyFont="1" applyFill="1" applyBorder="1">
      <alignment vertical="center"/>
    </xf>
    <xf numFmtId="0" fontId="22" fillId="0" borderId="30" xfId="10" applyFont="1" applyBorder="1" applyAlignment="1">
      <alignment vertical="center"/>
    </xf>
    <xf numFmtId="43" fontId="24" fillId="0" borderId="32" xfId="0" applyNumberFormat="1" applyFont="1" applyBorder="1"/>
    <xf numFmtId="43" fontId="17" fillId="0" borderId="32" xfId="0" applyNumberFormat="1" applyFont="1" applyBorder="1"/>
    <xf numFmtId="4" fontId="17" fillId="0" borderId="32" xfId="0" applyNumberFormat="1" applyFont="1" applyBorder="1"/>
    <xf numFmtId="4" fontId="17" fillId="0" borderId="0" xfId="10" applyNumberFormat="1" applyFont="1" applyAlignment="1">
      <alignment horizontal="right" vertical="center"/>
    </xf>
    <xf numFmtId="0" fontId="17" fillId="4" borderId="12" xfId="68" applyFont="1" applyFill="1" applyBorder="1" applyAlignment="1">
      <alignment horizontal="right" vertical="center"/>
    </xf>
    <xf numFmtId="0" fontId="22" fillId="4" borderId="13" xfId="68" applyFont="1" applyFill="1" applyBorder="1" applyAlignment="1">
      <alignment horizontal="right" vertical="center"/>
    </xf>
    <xf numFmtId="10" fontId="22" fillId="6" borderId="13" xfId="68" applyNumberFormat="1" applyFont="1" applyFill="1" applyBorder="1" applyAlignment="1">
      <alignment horizontal="right" vertical="center"/>
    </xf>
    <xf numFmtId="2" fontId="22" fillId="6" borderId="13" xfId="19" applyNumberFormat="1" applyFont="1" applyFill="1" applyBorder="1" applyAlignment="1">
      <alignment horizontal="right" vertical="center"/>
    </xf>
    <xf numFmtId="2" fontId="22" fillId="6" borderId="19" xfId="19" applyNumberFormat="1" applyFont="1" applyFill="1" applyBorder="1" applyAlignment="1">
      <alignment horizontal="right" vertical="center"/>
    </xf>
    <xf numFmtId="2" fontId="22" fillId="6" borderId="18" xfId="19" applyNumberFormat="1" applyFont="1" applyFill="1" applyBorder="1" applyAlignment="1">
      <alignment horizontal="right" vertical="center"/>
    </xf>
    <xf numFmtId="43" fontId="17" fillId="0" borderId="0" xfId="10" applyNumberFormat="1" applyFont="1" applyAlignment="1">
      <alignment vertical="center"/>
    </xf>
    <xf numFmtId="2" fontId="52" fillId="0" borderId="20" xfId="0" applyNumberFormat="1" applyFont="1" applyBorder="1"/>
    <xf numFmtId="2" fontId="22" fillId="0" borderId="4" xfId="14" applyNumberFormat="1" applyFont="1" applyBorder="1" applyAlignment="1">
      <alignment horizontal="center" vertical="center" wrapText="1"/>
    </xf>
    <xf numFmtId="0" fontId="22" fillId="0" borderId="9" xfId="10" applyFont="1" applyBorder="1" applyAlignment="1">
      <alignment horizontal="center" vertical="center"/>
    </xf>
    <xf numFmtId="0" fontId="22" fillId="0" borderId="0" xfId="10" applyFont="1" applyAlignment="1">
      <alignment horizontal="center" vertical="center"/>
    </xf>
    <xf numFmtId="0" fontId="22" fillId="0" borderId="33" xfId="10" applyFont="1" applyBorder="1" applyAlignment="1">
      <alignment horizontal="center" vertical="center"/>
    </xf>
    <xf numFmtId="0" fontId="53" fillId="0" borderId="0" xfId="14" applyFont="1" applyAlignment="1">
      <alignment horizontal="center" vertical="center"/>
    </xf>
    <xf numFmtId="0" fontId="53" fillId="0" borderId="0" xfId="14" applyFont="1" applyBorder="1" applyAlignment="1">
      <alignment vertical="center"/>
    </xf>
    <xf numFmtId="0" fontId="17" fillId="0" borderId="0" xfId="14" applyFont="1" applyBorder="1">
      <alignment vertical="center"/>
    </xf>
    <xf numFmtId="0" fontId="22" fillId="0" borderId="33" xfId="10" applyFont="1" applyBorder="1" applyAlignment="1">
      <alignment vertical="center"/>
    </xf>
    <xf numFmtId="0" fontId="22" fillId="0" borderId="0" xfId="10" applyFont="1" applyAlignment="1"/>
    <xf numFmtId="0" fontId="53" fillId="0" borderId="33" xfId="14" applyFont="1" applyBorder="1" applyAlignment="1">
      <alignment vertical="center"/>
    </xf>
    <xf numFmtId="0" fontId="22" fillId="0" borderId="0" xfId="10" applyFont="1" applyAlignment="1">
      <alignment horizontal="center" vertical="center"/>
    </xf>
    <xf numFmtId="0" fontId="22" fillId="4" borderId="32" xfId="14" applyFont="1" applyFill="1" applyBorder="1" applyAlignment="1">
      <alignment horizontal="center" vertical="center" wrapText="1"/>
    </xf>
    <xf numFmtId="0" fontId="17" fillId="4" borderId="32" xfId="14" applyFont="1" applyFill="1" applyBorder="1">
      <alignment vertical="center"/>
    </xf>
    <xf numFmtId="0" fontId="17" fillId="4" borderId="32" xfId="14" applyFont="1" applyFill="1" applyBorder="1" applyAlignment="1">
      <alignment vertical="center" wrapText="1"/>
    </xf>
    <xf numFmtId="0" fontId="22" fillId="0" borderId="9" xfId="14" applyFont="1" applyBorder="1" applyAlignment="1">
      <alignment horizontal="center" vertical="center"/>
    </xf>
    <xf numFmtId="0" fontId="17" fillId="0" borderId="0" xfId="10" applyFont="1" applyAlignment="1"/>
    <xf numFmtId="0" fontId="14" fillId="0" borderId="0" xfId="14" applyFont="1" applyAlignment="1">
      <alignment horizontal="center" vertical="center"/>
    </xf>
    <xf numFmtId="0" fontId="9" fillId="0" borderId="0" xfId="10" applyFont="1" applyAlignment="1">
      <alignment horizontal="center" vertical="center"/>
    </xf>
    <xf numFmtId="0" fontId="14" fillId="0" borderId="0" xfId="10" applyFont="1" applyAlignment="1">
      <alignment horizontal="center" vertical="center"/>
    </xf>
    <xf numFmtId="0" fontId="22" fillId="0" borderId="8" xfId="14" applyFont="1" applyBorder="1" applyAlignment="1">
      <alignment horizontal="center" vertical="center"/>
    </xf>
    <xf numFmtId="0" fontId="22" fillId="0" borderId="10" xfId="14" applyFont="1" applyBorder="1" applyAlignment="1">
      <alignment horizontal="center" vertical="center"/>
    </xf>
    <xf numFmtId="0" fontId="22" fillId="0" borderId="7" xfId="14" applyFont="1" applyBorder="1" applyAlignment="1">
      <alignment horizontal="center" vertical="center"/>
    </xf>
    <xf numFmtId="0" fontId="22" fillId="0" borderId="8" xfId="14" applyFont="1" applyBorder="1" applyAlignment="1">
      <alignment horizontal="center" vertical="center" wrapText="1"/>
    </xf>
    <xf numFmtId="0" fontId="22" fillId="0" borderId="10" xfId="14" applyFont="1" applyBorder="1" applyAlignment="1">
      <alignment horizontal="center" vertical="center" wrapText="1"/>
    </xf>
    <xf numFmtId="0" fontId="17" fillId="0" borderId="7" xfId="10" applyFont="1" applyBorder="1" applyAlignment="1">
      <alignment horizontal="center" vertical="center" wrapText="1"/>
    </xf>
    <xf numFmtId="0" fontId="22" fillId="0" borderId="4" xfId="14" applyFont="1" applyBorder="1" applyAlignment="1">
      <alignment horizontal="center" vertical="center"/>
    </xf>
    <xf numFmtId="0" fontId="17" fillId="0" borderId="4" xfId="10" applyFont="1" applyBorder="1" applyAlignment="1">
      <alignment horizontal="center" vertical="center"/>
    </xf>
    <xf numFmtId="0" fontId="22" fillId="0" borderId="4" xfId="14" applyFont="1" applyBorder="1" applyAlignment="1">
      <alignment horizontal="center" vertical="center" wrapText="1"/>
    </xf>
    <xf numFmtId="0" fontId="17" fillId="0" borderId="4" xfId="10" applyFont="1" applyBorder="1" applyAlignment="1">
      <alignment horizontal="center" vertical="center" wrapText="1"/>
    </xf>
    <xf numFmtId="0" fontId="22" fillId="0" borderId="6" xfId="14" applyFont="1" applyBorder="1" applyAlignment="1">
      <alignment horizontal="center" vertical="center" wrapText="1"/>
    </xf>
    <xf numFmtId="0" fontId="22" fillId="0" borderId="3" xfId="14" applyFont="1" applyBorder="1" applyAlignment="1">
      <alignment horizontal="center" vertical="center" wrapText="1"/>
    </xf>
    <xf numFmtId="0" fontId="22" fillId="0" borderId="9" xfId="14" applyFont="1" applyBorder="1" applyAlignment="1">
      <alignment horizontal="center" vertical="center" wrapText="1"/>
    </xf>
    <xf numFmtId="0" fontId="22" fillId="0" borderId="0" xfId="10" applyFont="1" applyAlignment="1">
      <alignment horizontal="left" vertical="center"/>
    </xf>
    <xf numFmtId="0" fontId="22" fillId="0" borderId="4" xfId="10" applyFont="1" applyBorder="1" applyAlignment="1">
      <alignment horizontal="center" vertical="center" wrapText="1"/>
    </xf>
    <xf numFmtId="0" fontId="22" fillId="0" borderId="8" xfId="10" applyFont="1" applyBorder="1" applyAlignment="1">
      <alignment horizontal="center" vertical="center" wrapText="1"/>
    </xf>
    <xf numFmtId="0" fontId="22" fillId="0" borderId="10" xfId="10" applyFont="1" applyBorder="1" applyAlignment="1">
      <alignment horizontal="center" vertical="center" wrapText="1"/>
    </xf>
    <xf numFmtId="0" fontId="22" fillId="0" borderId="7" xfId="10" applyFont="1" applyBorder="1" applyAlignment="1">
      <alignment horizontal="center" vertical="center" wrapText="1"/>
    </xf>
    <xf numFmtId="0" fontId="22" fillId="0" borderId="0" xfId="10" applyFont="1" applyAlignment="1">
      <alignment horizontal="center"/>
    </xf>
    <xf numFmtId="0" fontId="22" fillId="0" borderId="0" xfId="10" applyFont="1" applyAlignment="1">
      <alignment horizontal="center" vertical="center"/>
    </xf>
    <xf numFmtId="0" fontId="17" fillId="0" borderId="4" xfId="10" applyFont="1" applyBorder="1" applyAlignment="1">
      <alignment vertical="center"/>
    </xf>
    <xf numFmtId="0" fontId="22" fillId="0" borderId="32" xfId="14" applyFont="1" applyBorder="1" applyAlignment="1">
      <alignment horizontal="center" vertical="center" wrapText="1"/>
    </xf>
    <xf numFmtId="0" fontId="53" fillId="0" borderId="33" xfId="14" applyFont="1" applyBorder="1" applyAlignment="1">
      <alignment horizontal="center" vertical="center"/>
    </xf>
    <xf numFmtId="0" fontId="22" fillId="0" borderId="4" xfId="10" applyFont="1" applyBorder="1" applyAlignment="1">
      <alignment horizontal="center" vertical="center"/>
    </xf>
    <xf numFmtId="0" fontId="22" fillId="4" borderId="15" xfId="68" applyFont="1" applyFill="1" applyBorder="1" applyAlignment="1">
      <alignment horizontal="center" vertical="center"/>
    </xf>
    <xf numFmtId="0" fontId="22" fillId="4" borderId="16" xfId="68" applyFont="1" applyFill="1" applyBorder="1" applyAlignment="1">
      <alignment horizontal="center" vertical="center"/>
    </xf>
    <xf numFmtId="0" fontId="22" fillId="4" borderId="17" xfId="68" applyFont="1" applyFill="1" applyBorder="1" applyAlignment="1">
      <alignment horizontal="center" vertical="center"/>
    </xf>
    <xf numFmtId="0" fontId="22" fillId="4" borderId="5" xfId="68" applyFont="1" applyFill="1" applyBorder="1" applyAlignment="1">
      <alignment horizontal="center" vertical="center" wrapText="1"/>
    </xf>
    <xf numFmtId="0" fontId="22" fillId="4" borderId="12" xfId="68" applyFont="1" applyFill="1" applyBorder="1" applyAlignment="1">
      <alignment horizontal="center" vertical="center" wrapText="1"/>
    </xf>
    <xf numFmtId="0" fontId="22" fillId="4" borderId="4" xfId="68" quotePrefix="1" applyFont="1" applyFill="1" applyBorder="1" applyAlignment="1">
      <alignment horizontal="center" vertical="center" wrapText="1"/>
    </xf>
    <xf numFmtId="0" fontId="22" fillId="4" borderId="13" xfId="68" quotePrefix="1" applyFont="1" applyFill="1" applyBorder="1" applyAlignment="1">
      <alignment horizontal="center" vertical="center" wrapText="1"/>
    </xf>
    <xf numFmtId="0" fontId="22" fillId="4" borderId="4" xfId="68" applyFont="1" applyFill="1" applyBorder="1" applyAlignment="1">
      <alignment horizontal="center" vertical="center" wrapText="1"/>
    </xf>
    <xf numFmtId="0" fontId="22" fillId="4" borderId="13" xfId="68" applyFont="1" applyFill="1" applyBorder="1" applyAlignment="1">
      <alignment horizontal="center" vertical="center" wrapText="1"/>
    </xf>
    <xf numFmtId="0" fontId="22" fillId="4" borderId="11" xfId="68" applyFont="1" applyFill="1" applyBorder="1" applyAlignment="1">
      <alignment horizontal="center" vertical="center" wrapText="1"/>
    </xf>
    <xf numFmtId="2" fontId="22" fillId="6" borderId="6" xfId="10" applyNumberFormat="1" applyFont="1" applyFill="1" applyBorder="1" applyAlignment="1">
      <alignment horizontal="center" vertical="center"/>
    </xf>
    <xf numFmtId="2" fontId="22" fillId="6" borderId="3" xfId="10" applyNumberFormat="1" applyFont="1" applyFill="1" applyBorder="1" applyAlignment="1">
      <alignment horizontal="center" vertical="center"/>
    </xf>
    <xf numFmtId="2" fontId="22" fillId="6" borderId="9" xfId="10" applyNumberFormat="1" applyFont="1" applyFill="1" applyBorder="1" applyAlignment="1">
      <alignment horizontal="center" vertical="center"/>
    </xf>
    <xf numFmtId="10" fontId="22" fillId="6" borderId="6" xfId="10" applyNumberFormat="1" applyFont="1" applyFill="1" applyBorder="1" applyAlignment="1">
      <alignment horizontal="center" vertical="center"/>
    </xf>
    <xf numFmtId="10" fontId="22" fillId="6" borderId="3" xfId="10" applyNumberFormat="1" applyFont="1" applyFill="1" applyBorder="1" applyAlignment="1">
      <alignment horizontal="center" vertical="center"/>
    </xf>
    <xf numFmtId="10" fontId="22" fillId="6" borderId="9" xfId="10" applyNumberFormat="1" applyFont="1" applyFill="1" applyBorder="1" applyAlignment="1">
      <alignment horizontal="center" vertical="center"/>
    </xf>
    <xf numFmtId="2" fontId="17" fillId="0" borderId="6" xfId="10" applyNumberFormat="1" applyFont="1" applyBorder="1" applyAlignment="1">
      <alignment horizontal="center" vertical="center"/>
    </xf>
    <xf numFmtId="2" fontId="17" fillId="0" borderId="3" xfId="10" applyNumberFormat="1" applyFont="1" applyBorder="1" applyAlignment="1">
      <alignment horizontal="center" vertical="center"/>
    </xf>
    <xf numFmtId="2" fontId="17" fillId="0" borderId="9" xfId="10" applyNumberFormat="1" applyFont="1" applyBorder="1" applyAlignment="1">
      <alignment horizontal="center" vertical="center"/>
    </xf>
    <xf numFmtId="10" fontId="17" fillId="0" borderId="6" xfId="10" applyNumberFormat="1" applyFont="1" applyBorder="1" applyAlignment="1">
      <alignment horizontal="center" vertical="center"/>
    </xf>
    <xf numFmtId="10" fontId="17" fillId="0" borderId="3" xfId="10" applyNumberFormat="1" applyFont="1" applyBorder="1" applyAlignment="1">
      <alignment horizontal="center" vertical="center"/>
    </xf>
    <xf numFmtId="10" fontId="17" fillId="0" borderId="9" xfId="10" applyNumberFormat="1" applyFont="1" applyBorder="1" applyAlignment="1">
      <alignment horizontal="center" vertical="center"/>
    </xf>
    <xf numFmtId="0" fontId="17" fillId="0" borderId="6" xfId="10" applyFont="1" applyBorder="1" applyAlignment="1">
      <alignment horizontal="center" vertical="center"/>
    </xf>
    <xf numFmtId="0" fontId="17" fillId="0" borderId="3" xfId="10" applyFont="1" applyBorder="1" applyAlignment="1">
      <alignment horizontal="center" vertical="center"/>
    </xf>
    <xf numFmtId="0" fontId="17" fillId="0" borderId="9" xfId="10" applyFont="1" applyBorder="1" applyAlignment="1">
      <alignment horizontal="center" vertical="center"/>
    </xf>
    <xf numFmtId="0" fontId="17" fillId="0" borderId="0" xfId="10" applyFont="1" applyAlignment="1">
      <alignment horizontal="left" vertical="center" wrapText="1"/>
    </xf>
    <xf numFmtId="0" fontId="10" fillId="0" borderId="4" xfId="10" applyBorder="1" applyAlignment="1">
      <alignment horizontal="center" vertical="center" wrapText="1"/>
    </xf>
    <xf numFmtId="0" fontId="10" fillId="0" borderId="4" xfId="10" applyBorder="1" applyAlignment="1">
      <alignment horizontal="center" vertical="center"/>
    </xf>
    <xf numFmtId="0" fontId="22" fillId="0" borderId="33" xfId="10" applyFont="1" applyBorder="1" applyAlignment="1">
      <alignment horizontal="center" vertical="center"/>
    </xf>
    <xf numFmtId="0" fontId="22" fillId="0" borderId="4" xfId="14" quotePrefix="1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33" fillId="0" borderId="0" xfId="14" applyFont="1" applyAlignment="1">
      <alignment horizontal="center" vertical="center"/>
    </xf>
    <xf numFmtId="0" fontId="33" fillId="0" borderId="0" xfId="10" applyFont="1" applyAlignment="1">
      <alignment horizontal="center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3" xfId="0" applyNumberFormat="1" applyFont="1" applyBorder="1" applyAlignment="1">
      <alignment horizontal="left" vertical="center"/>
    </xf>
    <xf numFmtId="1" fontId="10" fillId="0" borderId="9" xfId="0" applyNumberFormat="1" applyFont="1" applyBorder="1" applyAlignment="1">
      <alignment horizontal="left" vertical="center"/>
    </xf>
  </cellXfs>
  <cellStyles count="783">
    <cellStyle name="20% - Accent1" xfId="476" builtinId="30" customBuiltin="1"/>
    <cellStyle name="20% - Accent2" xfId="479" builtinId="34" customBuiltin="1"/>
    <cellStyle name="20% - Accent3" xfId="482" builtinId="38" customBuiltin="1"/>
    <cellStyle name="20% - Accent4" xfId="485" builtinId="42" customBuiltin="1"/>
    <cellStyle name="20% - Accent5" xfId="488" builtinId="46" customBuiltin="1"/>
    <cellStyle name="20% - Accent6" xfId="491" builtinId="50" customBuiltin="1"/>
    <cellStyle name="40% - Accent1" xfId="477" builtinId="31" customBuiltin="1"/>
    <cellStyle name="40% - Accent2" xfId="480" builtinId="35" customBuiltin="1"/>
    <cellStyle name="40% - Accent3" xfId="483" builtinId="39" customBuiltin="1"/>
    <cellStyle name="40% - Accent4" xfId="486" builtinId="43" customBuiltin="1"/>
    <cellStyle name="40% - Accent5" xfId="489" builtinId="47" customBuiltin="1"/>
    <cellStyle name="40% - Accent6" xfId="492" builtinId="51" customBuiltin="1"/>
    <cellStyle name="60% - Accent1 2" xfId="498"/>
    <cellStyle name="60% - Accent2 2" xfId="499"/>
    <cellStyle name="60% - Accent3 2" xfId="500"/>
    <cellStyle name="60% - Accent4 2" xfId="501"/>
    <cellStyle name="60% - Accent5 2" xfId="502"/>
    <cellStyle name="60% - Accent6 2" xfId="503"/>
    <cellStyle name="Accent1" xfId="475" builtinId="29" customBuiltin="1"/>
    <cellStyle name="Accent2" xfId="478" builtinId="33" customBuiltin="1"/>
    <cellStyle name="Accent3" xfId="481" builtinId="37" customBuiltin="1"/>
    <cellStyle name="Accent4" xfId="484" builtinId="41" customBuiltin="1"/>
    <cellStyle name="Accent5" xfId="487" builtinId="45" customBuiltin="1"/>
    <cellStyle name="Accent6" xfId="490" builtinId="49" customBuiltin="1"/>
    <cellStyle name="Bad" xfId="466" builtinId="27" customBuiltin="1"/>
    <cellStyle name="Body" xfId="1"/>
    <cellStyle name="Calculation" xfId="469" builtinId="22" customBuiltin="1"/>
    <cellStyle name="Check Cell" xfId="471" builtinId="23" customBuiltin="1"/>
    <cellStyle name="Comma" xfId="71" builtinId="3"/>
    <cellStyle name="Comma  - Style1" xfId="2"/>
    <cellStyle name="Comma 10" xfId="95"/>
    <cellStyle name="Comma 10 2" xfId="96"/>
    <cellStyle name="Comma 10 3" xfId="252"/>
    <cellStyle name="Comma 10 4" xfId="265"/>
    <cellStyle name="Comma 10 5" xfId="534"/>
    <cellStyle name="Comma 11" xfId="97"/>
    <cellStyle name="Comma 11 2" xfId="19"/>
    <cellStyle name="Comma 11 2 10" xfId="436"/>
    <cellStyle name="Comma 11 2 11" xfId="507"/>
    <cellStyle name="Comma 11 2 12" xfId="574"/>
    <cellStyle name="Comma 11 2 2" xfId="98"/>
    <cellStyle name="Comma 11 2 2 2" xfId="99"/>
    <cellStyle name="Comma 11 2 2 3" xfId="93"/>
    <cellStyle name="Comma 11 2 2 4" xfId="348"/>
    <cellStyle name="Comma 11 2 2 5" xfId="367"/>
    <cellStyle name="Comma 11 2 2 6" xfId="385"/>
    <cellStyle name="Comma 11 2 2 7" xfId="401"/>
    <cellStyle name="Comma 11 2 2 8" xfId="417"/>
    <cellStyle name="Comma 11 2 2 9" xfId="538"/>
    <cellStyle name="Comma 11 2 3" xfId="209"/>
    <cellStyle name="Comma 11 2 4" xfId="349"/>
    <cellStyle name="Comma 11 2 5" xfId="358"/>
    <cellStyle name="Comma 11 2 6" xfId="376"/>
    <cellStyle name="Comma 11 2 7" xfId="394"/>
    <cellStyle name="Comma 11 2 8" xfId="410"/>
    <cellStyle name="Comma 11 2 9" xfId="72"/>
    <cellStyle name="Comma 11 3" xfId="569"/>
    <cellStyle name="Comma 12" xfId="100"/>
    <cellStyle name="Comma 12 2" xfId="530"/>
    <cellStyle name="Comma 13" xfId="101"/>
    <cellStyle name="Comma 13 2" xfId="570"/>
    <cellStyle name="Comma 14" xfId="102"/>
    <cellStyle name="Comma 14 2" xfId="531"/>
    <cellStyle name="Comma 15" xfId="103"/>
    <cellStyle name="Comma 15 2" xfId="104"/>
    <cellStyle name="Comma 15 2 2" xfId="105"/>
    <cellStyle name="Comma 15 2 2 2" xfId="106"/>
    <cellStyle name="Comma 15 2 2 2 2" xfId="580"/>
    <cellStyle name="Comma 15 2 2 3" xfId="249"/>
    <cellStyle name="Comma 15 2 2 3 2" xfId="664"/>
    <cellStyle name="Comma 15 2 2 4" xfId="262"/>
    <cellStyle name="Comma 15 2 2 4 2" xfId="676"/>
    <cellStyle name="Comma 15 2 2 5" xfId="579"/>
    <cellStyle name="Comma 15 2 3" xfId="107"/>
    <cellStyle name="Comma 15 2 3 2" xfId="581"/>
    <cellStyle name="Comma 15 2 4" xfId="108"/>
    <cellStyle name="Comma 15 2 4 2" xfId="582"/>
    <cellStyle name="Comma 15 2 5" xfId="109"/>
    <cellStyle name="Comma 15 2 5 2" xfId="583"/>
    <cellStyle name="Comma 15 2 6" xfId="110"/>
    <cellStyle name="Comma 15 2 6 2" xfId="584"/>
    <cellStyle name="Comma 15 2 7" xfId="111"/>
    <cellStyle name="Comma 15 2 7 2" xfId="585"/>
    <cellStyle name="Comma 15 2 8" xfId="112"/>
    <cellStyle name="Comma 15 2 8 2" xfId="586"/>
    <cellStyle name="Comma 15 2 9" xfId="578"/>
    <cellStyle name="Comma 15 3" xfId="113"/>
    <cellStyle name="Comma 15 4" xfId="114"/>
    <cellStyle name="Comma 15 5" xfId="115"/>
    <cellStyle name="Comma 15 6" xfId="116"/>
    <cellStyle name="Comma 15 7" xfId="117"/>
    <cellStyle name="Comma 15 8" xfId="118"/>
    <cellStyle name="Comma 16" xfId="119"/>
    <cellStyle name="Comma 16 2" xfId="120"/>
    <cellStyle name="Comma 16 3" xfId="121"/>
    <cellStyle name="Comma 16 4" xfId="122"/>
    <cellStyle name="Comma 16 5" xfId="123"/>
    <cellStyle name="Comma 16 6" xfId="124"/>
    <cellStyle name="Comma 16 7" xfId="125"/>
    <cellStyle name="Comma 16 8" xfId="126"/>
    <cellStyle name="Comma 17" xfId="127"/>
    <cellStyle name="Comma 17 2" xfId="587"/>
    <cellStyle name="Comma 18" xfId="128"/>
    <cellStyle name="Comma 18 2" xfId="129"/>
    <cellStyle name="Comma 18 2 2" xfId="130"/>
    <cellStyle name="Comma 18 2 2 2" xfId="590"/>
    <cellStyle name="Comma 18 2 3" xfId="589"/>
    <cellStyle name="Comma 18 3" xfId="588"/>
    <cellStyle name="Comma 19" xfId="131"/>
    <cellStyle name="Comma 19 2" xfId="591"/>
    <cellStyle name="Comma 2" xfId="24"/>
    <cellStyle name="Comma 2 10" xfId="248"/>
    <cellStyle name="Comma 2 10 2" xfId="663"/>
    <cellStyle name="Comma 2 11" xfId="261"/>
    <cellStyle name="Comma 2 11 2" xfId="675"/>
    <cellStyle name="Comma 2 12" xfId="286"/>
    <cellStyle name="Comma 2 13" xfId="328"/>
    <cellStyle name="Comma 2 14" xfId="281"/>
    <cellStyle name="Comma 2 15" xfId="368"/>
    <cellStyle name="Comma 2 16" xfId="386"/>
    <cellStyle name="Comma 2 17" xfId="402"/>
    <cellStyle name="Comma 2 18" xfId="73"/>
    <cellStyle name="Comma 2 19" xfId="496"/>
    <cellStyle name="Comma 2 2" xfId="25"/>
    <cellStyle name="Comma 2 2 10" xfId="326"/>
    <cellStyle name="Comma 2 2 10 2" xfId="713"/>
    <cellStyle name="Comma 2 2 11" xfId="283"/>
    <cellStyle name="Comma 2 2 11 2" xfId="692"/>
    <cellStyle name="Comma 2 2 12" xfId="332"/>
    <cellStyle name="Comma 2 2 12 2" xfId="718"/>
    <cellStyle name="Comma 2 2 13" xfId="277"/>
    <cellStyle name="Comma 2 2 13 2" xfId="687"/>
    <cellStyle name="Comma 2 2 14" xfId="337"/>
    <cellStyle name="Comma 2 2 14 2" xfId="722"/>
    <cellStyle name="Comma 2 2 15" xfId="74"/>
    <cellStyle name="Comma 2 2 16" xfId="512"/>
    <cellStyle name="Comma 2 2 2" xfId="63"/>
    <cellStyle name="Comma 2 2 2 2" xfId="134"/>
    <cellStyle name="Comma 2 2 2 2 2" xfId="593"/>
    <cellStyle name="Comma 2 2 2 3" xfId="288"/>
    <cellStyle name="Comma 2 2 2 3 2" xfId="696"/>
    <cellStyle name="Comma 2 2 2 4" xfId="325"/>
    <cellStyle name="Comma 2 2 2 4 2" xfId="712"/>
    <cellStyle name="Comma 2 2 2 5" xfId="284"/>
    <cellStyle name="Comma 2 2 2 5 2" xfId="693"/>
    <cellStyle name="Comma 2 2 2 6" xfId="331"/>
    <cellStyle name="Comma 2 2 2 6 2" xfId="717"/>
    <cellStyle name="Comma 2 2 2 7" xfId="278"/>
    <cellStyle name="Comma 2 2 2 7 2" xfId="688"/>
    <cellStyle name="Comma 2 2 2 8" xfId="335"/>
    <cellStyle name="Comma 2 2 2 8 2" xfId="721"/>
    <cellStyle name="Comma 2 2 3" xfId="133"/>
    <cellStyle name="Comma 2 2 3 2" xfId="542"/>
    <cellStyle name="Comma 2 2 3 3" xfId="592"/>
    <cellStyle name="Comma 2 2 4" xfId="136"/>
    <cellStyle name="Comma 2 2 4 2" xfId="595"/>
    <cellStyle name="Comma 2 2 5" xfId="137"/>
    <cellStyle name="Comma 2 2 5 2" xfId="596"/>
    <cellStyle name="Comma 2 2 6" xfId="138"/>
    <cellStyle name="Comma 2 2 6 2" xfId="597"/>
    <cellStyle name="Comma 2 2 7" xfId="139"/>
    <cellStyle name="Comma 2 2 7 2" xfId="598"/>
    <cellStyle name="Comma 2 2 8" xfId="140"/>
    <cellStyle name="Comma 2 2 8 2" xfId="599"/>
    <cellStyle name="Comma 2 2 9" xfId="287"/>
    <cellStyle name="Comma 2 2 9 2" xfId="695"/>
    <cellStyle name="Comma 2 3" xfId="26"/>
    <cellStyle name="Comma 2 3 10" xfId="513"/>
    <cellStyle name="Comma 2 3 2" xfId="141"/>
    <cellStyle name="Comma 2 3 2 2" xfId="543"/>
    <cellStyle name="Comma 2 3 2 3" xfId="600"/>
    <cellStyle name="Comma 2 3 3" xfId="296"/>
    <cellStyle name="Comma 2 3 3 2" xfId="697"/>
    <cellStyle name="Comma 2 3 4" xfId="313"/>
    <cellStyle name="Comma 2 3 4 2" xfId="708"/>
    <cellStyle name="Comma 2 3 5" xfId="299"/>
    <cellStyle name="Comma 2 3 5 2" xfId="698"/>
    <cellStyle name="Comma 2 3 6" xfId="312"/>
    <cellStyle name="Comma 2 3 6 2" xfId="707"/>
    <cellStyle name="Comma 2 3 7" xfId="300"/>
    <cellStyle name="Comma 2 3 7 2" xfId="699"/>
    <cellStyle name="Comma 2 3 8" xfId="311"/>
    <cellStyle name="Comma 2 3 8 2" xfId="706"/>
    <cellStyle name="Comma 2 3 9" xfId="75"/>
    <cellStyle name="Comma 2 4" xfId="56"/>
    <cellStyle name="Comma 2 4 2" xfId="142"/>
    <cellStyle name="Comma 2 4 3" xfId="297"/>
    <cellStyle name="Comma 2 4 4" xfId="366"/>
    <cellStyle name="Comma 2 4 5" xfId="384"/>
    <cellStyle name="Comma 2 4 6" xfId="400"/>
    <cellStyle name="Comma 2 4 7" xfId="416"/>
    <cellStyle name="Comma 2 4 8" xfId="429"/>
    <cellStyle name="Comma 2 5" xfId="132"/>
    <cellStyle name="Comma 2 5 2" xfId="541"/>
    <cellStyle name="Comma 2 6" xfId="144"/>
    <cellStyle name="Comma 2 6 2" xfId="511"/>
    <cellStyle name="Comma 2 7" xfId="145"/>
    <cellStyle name="Comma 2 8" xfId="146"/>
    <cellStyle name="Comma 2 9" xfId="147"/>
    <cellStyle name="Comma 20" xfId="148"/>
    <cellStyle name="Comma 20 2" xfId="602"/>
    <cellStyle name="Comma 21" xfId="149"/>
    <cellStyle name="Comma 21 2" xfId="603"/>
    <cellStyle name="Comma 22" xfId="150"/>
    <cellStyle name="Comma 22 2" xfId="604"/>
    <cellStyle name="Comma 23" xfId="151"/>
    <cellStyle name="Comma 23 2" xfId="605"/>
    <cellStyle name="Comma 24" xfId="152"/>
    <cellStyle name="Comma 24 2" xfId="606"/>
    <cellStyle name="Comma 25" xfId="153"/>
    <cellStyle name="Comma 25 2" xfId="607"/>
    <cellStyle name="Comma 26" xfId="154"/>
    <cellStyle name="Comma 26 2" xfId="608"/>
    <cellStyle name="Comma 27" xfId="155"/>
    <cellStyle name="Comma 27 2" xfId="609"/>
    <cellStyle name="Comma 28" xfId="156"/>
    <cellStyle name="Comma 28 2" xfId="610"/>
    <cellStyle name="Comma 29" xfId="157"/>
    <cellStyle name="Comma 29 2" xfId="611"/>
    <cellStyle name="Comma 3" xfId="27"/>
    <cellStyle name="Comma 3 10" xfId="76"/>
    <cellStyle name="Comma 3 11" xfId="514"/>
    <cellStyle name="Comma 3 2" xfId="62"/>
    <cellStyle name="Comma 3 2 2" xfId="77"/>
    <cellStyle name="Comma 3 2 2 2" xfId="551"/>
    <cellStyle name="Comma 3 2 3" xfId="437"/>
    <cellStyle name="Comma 3 2 4" xfId="522"/>
    <cellStyle name="Comma 3 2 5" xfId="575"/>
    <cellStyle name="Comma 3 3" xfId="158"/>
    <cellStyle name="Comma 3 3 2" xfId="544"/>
    <cellStyle name="Comma 3 4" xfId="302"/>
    <cellStyle name="Comma 3 5" xfId="362"/>
    <cellStyle name="Comma 3 6" xfId="380"/>
    <cellStyle name="Comma 3 7" xfId="397"/>
    <cellStyle name="Comma 3 8" xfId="413"/>
    <cellStyle name="Comma 3 9" xfId="427"/>
    <cellStyle name="Comma 30" xfId="159"/>
    <cellStyle name="Comma 30 2" xfId="612"/>
    <cellStyle name="Comma 31" xfId="160"/>
    <cellStyle name="Comma 31 2" xfId="613"/>
    <cellStyle name="Comma 32" xfId="161"/>
    <cellStyle name="Comma 32 2" xfId="614"/>
    <cellStyle name="Comma 33" xfId="162"/>
    <cellStyle name="Comma 33 2" xfId="615"/>
    <cellStyle name="Comma 34" xfId="163"/>
    <cellStyle name="Comma 34 2" xfId="616"/>
    <cellStyle name="Comma 35" xfId="164"/>
    <cellStyle name="Comma 35 2" xfId="617"/>
    <cellStyle name="Comma 36" xfId="165"/>
    <cellStyle name="Comma 36 2" xfId="618"/>
    <cellStyle name="Comma 37" xfId="166"/>
    <cellStyle name="Comma 37 2" xfId="619"/>
    <cellStyle name="Comma 38" xfId="250"/>
    <cellStyle name="Comma 38 2" xfId="665"/>
    <cellStyle name="Comma 39" xfId="255"/>
    <cellStyle name="Comma 39 2" xfId="669"/>
    <cellStyle name="Comma 4" xfId="28"/>
    <cellStyle name="Comma 4 10" xfId="78"/>
    <cellStyle name="Comma 4 11" xfId="515"/>
    <cellStyle name="Comma 4 2" xfId="64"/>
    <cellStyle name="Comma 4 2 10" xfId="438"/>
    <cellStyle name="Comma 4 2 11" xfId="523"/>
    <cellStyle name="Comma 4 2 12" xfId="576"/>
    <cellStyle name="Comma 4 2 2" xfId="168"/>
    <cellStyle name="Comma 4 2 2 2" xfId="552"/>
    <cellStyle name="Comma 4 2 3" xfId="306"/>
    <cellStyle name="Comma 4 2 4" xfId="360"/>
    <cellStyle name="Comma 4 2 5" xfId="378"/>
    <cellStyle name="Comma 4 2 6" xfId="396"/>
    <cellStyle name="Comma 4 2 7" xfId="412"/>
    <cellStyle name="Comma 4 2 8" xfId="426"/>
    <cellStyle name="Comma 4 2 9" xfId="79"/>
    <cellStyle name="Comma 4 3" xfId="169"/>
    <cellStyle name="Comma 4 3 2" xfId="545"/>
    <cellStyle name="Comma 4 4" xfId="170"/>
    <cellStyle name="Comma 4 5" xfId="171"/>
    <cellStyle name="Comma 4 6" xfId="172"/>
    <cellStyle name="Comma 4 7" xfId="173"/>
    <cellStyle name="Comma 4 8" xfId="174"/>
    <cellStyle name="Comma 4 9" xfId="175"/>
    <cellStyle name="Comma 40" xfId="257"/>
    <cellStyle name="Comma 40 2" xfId="671"/>
    <cellStyle name="Comma 41" xfId="259"/>
    <cellStyle name="Comma 41 2" xfId="673"/>
    <cellStyle name="Comma 42" xfId="263"/>
    <cellStyle name="Comma 42 2" xfId="677"/>
    <cellStyle name="Comma 43" xfId="267"/>
    <cellStyle name="Comma 43 2" xfId="680"/>
    <cellStyle name="Comma 44" xfId="452"/>
    <cellStyle name="Comma 45" xfId="454"/>
    <cellStyle name="Comma 46" xfId="456"/>
    <cellStyle name="Comma 47" xfId="458"/>
    <cellStyle name="Comma 48" xfId="459"/>
    <cellStyle name="Comma 49" xfId="422"/>
    <cellStyle name="Comma 5" xfId="29"/>
    <cellStyle name="Comma 5 10" xfId="177"/>
    <cellStyle name="Comma 5 10 2" xfId="622"/>
    <cellStyle name="Comma 5 11" xfId="309"/>
    <cellStyle name="Comma 5 11 2" xfId="705"/>
    <cellStyle name="Comma 5 12" xfId="303"/>
    <cellStyle name="Comma 5 12 2" xfId="700"/>
    <cellStyle name="Comma 5 13" xfId="308"/>
    <cellStyle name="Comma 5 13 2" xfId="704"/>
    <cellStyle name="Comma 5 14" xfId="304"/>
    <cellStyle name="Comma 5 14 2" xfId="701"/>
    <cellStyle name="Comma 5 15" xfId="307"/>
    <cellStyle name="Comma 5 15 2" xfId="703"/>
    <cellStyle name="Comma 5 16" xfId="305"/>
    <cellStyle name="Comma 5 16 2" xfId="702"/>
    <cellStyle name="Comma 5 17" xfId="80"/>
    <cellStyle name="Comma 5 18" xfId="439"/>
    <cellStyle name="Comma 5 19" xfId="516"/>
    <cellStyle name="Comma 5 2" xfId="176"/>
    <cellStyle name="Comma 5 2 10" xfId="621"/>
    <cellStyle name="Comma 5 2 2" xfId="178"/>
    <cellStyle name="Comma 5 2 3" xfId="310"/>
    <cellStyle name="Comma 5 2 4" xfId="301"/>
    <cellStyle name="Comma 5 2 5" xfId="365"/>
    <cellStyle name="Comma 5 2 6" xfId="383"/>
    <cellStyle name="Comma 5 2 7" xfId="399"/>
    <cellStyle name="Comma 5 2 8" xfId="415"/>
    <cellStyle name="Comma 5 2 9" xfId="546"/>
    <cellStyle name="Comma 5 3" xfId="179"/>
    <cellStyle name="Comma 5 3 2" xfId="180"/>
    <cellStyle name="Comma 5 3 3" xfId="181"/>
    <cellStyle name="Comma 5 3 4" xfId="182"/>
    <cellStyle name="Comma 5 3 5" xfId="183"/>
    <cellStyle name="Comma 5 3 6" xfId="184"/>
    <cellStyle name="Comma 5 3 7" xfId="185"/>
    <cellStyle name="Comma 5 3 8" xfId="186"/>
    <cellStyle name="Comma 5 4" xfId="187"/>
    <cellStyle name="Comma 5 4 2" xfId="188"/>
    <cellStyle name="Comma 5 4 2 2" xfId="189"/>
    <cellStyle name="Comma 5 4 2 2 2" xfId="626"/>
    <cellStyle name="Comma 5 4 2 3" xfId="251"/>
    <cellStyle name="Comma 5 4 2 3 2" xfId="666"/>
    <cellStyle name="Comma 5 4 2 4" xfId="264"/>
    <cellStyle name="Comma 5 4 2 4 2" xfId="678"/>
    <cellStyle name="Comma 5 4 2 5" xfId="625"/>
    <cellStyle name="Comma 5 4 3" xfId="624"/>
    <cellStyle name="Comma 5 5" xfId="190"/>
    <cellStyle name="Comma 5 5 2" xfId="627"/>
    <cellStyle name="Comma 5 6" xfId="191"/>
    <cellStyle name="Comma 5 6 2" xfId="628"/>
    <cellStyle name="Comma 5 7" xfId="192"/>
    <cellStyle name="Comma 5 7 2" xfId="629"/>
    <cellStyle name="Comma 5 8" xfId="193"/>
    <cellStyle name="Comma 5 8 2" xfId="630"/>
    <cellStyle name="Comma 5 9" xfId="194"/>
    <cellStyle name="Comma 5 9 2" xfId="631"/>
    <cellStyle name="Comma 50" xfId="573"/>
    <cellStyle name="Comma 51" xfId="520"/>
    <cellStyle name="Comma 52" xfId="781"/>
    <cellStyle name="Comma 53" xfId="778"/>
    <cellStyle name="Comma 54" xfId="577"/>
    <cellStyle name="Comma 55" xfId="633"/>
    <cellStyle name="Comma 6" xfId="48"/>
    <cellStyle name="Comma 6 2" xfId="49"/>
    <cellStyle name="Comma 6 3" xfId="50"/>
    <cellStyle name="Comma 6 4" xfId="51"/>
    <cellStyle name="Comma 6 5" xfId="81"/>
    <cellStyle name="Comma 6 5 2" xfId="549"/>
    <cellStyle name="Comma 6 6" xfId="519"/>
    <cellStyle name="Comma 7" xfId="21"/>
    <cellStyle name="Comma 7 2" xfId="196"/>
    <cellStyle name="Comma 7 3" xfId="318"/>
    <cellStyle name="Comma 7 4" xfId="292"/>
    <cellStyle name="Comma 7 5" xfId="316"/>
    <cellStyle name="Comma 7 6" xfId="294"/>
    <cellStyle name="Comma 7 7" xfId="314"/>
    <cellStyle name="Comma 7 8" xfId="298"/>
    <cellStyle name="Comma 8" xfId="65"/>
    <cellStyle name="Comma 8 10" xfId="440"/>
    <cellStyle name="Comma 8 11" xfId="524"/>
    <cellStyle name="Comma 8 2" xfId="197"/>
    <cellStyle name="Comma 8 2 2" xfId="553"/>
    <cellStyle name="Comma 8 3" xfId="319"/>
    <cellStyle name="Comma 8 4" xfId="291"/>
    <cellStyle name="Comma 8 5" xfId="317"/>
    <cellStyle name="Comma 8 6" xfId="293"/>
    <cellStyle name="Comma 8 7" xfId="315"/>
    <cellStyle name="Comma 8 8" xfId="295"/>
    <cellStyle name="Comma 8 9" xfId="82"/>
    <cellStyle name="Comma 9" xfId="94"/>
    <cellStyle name="Comma 9 2" xfId="198"/>
    <cellStyle name="Comma 9 3" xfId="320"/>
    <cellStyle name="Comma 9 4" xfId="290"/>
    <cellStyle name="Comma 9 5" xfId="321"/>
    <cellStyle name="Comma 9 6" xfId="289"/>
    <cellStyle name="Comma 9 7" xfId="243"/>
    <cellStyle name="Comma 9 8" xfId="354"/>
    <cellStyle name="Comma 9 9" xfId="561"/>
    <cellStyle name="Curren - Style2" xfId="3"/>
    <cellStyle name="Explanatory Text" xfId="473" builtinId="53" customBuiltin="1"/>
    <cellStyle name="Good" xfId="465" builtinId="26" customBuiltin="1"/>
    <cellStyle name="Grey" xfId="4"/>
    <cellStyle name="Header1" xfId="5"/>
    <cellStyle name="Header2" xfId="6"/>
    <cellStyle name="Heading 1" xfId="461" builtinId="16" customBuiltin="1"/>
    <cellStyle name="Heading 2" xfId="462" builtinId="17" customBuiltin="1"/>
    <cellStyle name="Heading 3" xfId="463" builtinId="18" customBuiltin="1"/>
    <cellStyle name="Heading 4" xfId="464" builtinId="19" customBuiltin="1"/>
    <cellStyle name="Hyperlink 2" xfId="199"/>
    <cellStyle name="Input" xfId="467" builtinId="20" customBuiltin="1"/>
    <cellStyle name="Input [yellow]" xfId="7"/>
    <cellStyle name="Input [yellow] 2" xfId="505"/>
    <cellStyle name="Linked Cell" xfId="470" builtinId="24" customBuiltin="1"/>
    <cellStyle name="Neutral 2" xfId="497"/>
    <cellStyle name="no dec" xfId="8"/>
    <cellStyle name="Normal" xfId="0" builtinId="0"/>
    <cellStyle name="Normal - Style1" xfId="9"/>
    <cellStyle name="Normal 10" xfId="67"/>
    <cellStyle name="Normal 10 10" xfId="441"/>
    <cellStyle name="Normal 10 11" xfId="526"/>
    <cellStyle name="Normal 10 2" xfId="200"/>
    <cellStyle name="Normal 10 2 2" xfId="555"/>
    <cellStyle name="Normal 10 3" xfId="322"/>
    <cellStyle name="Normal 10 3 2" xfId="709"/>
    <cellStyle name="Normal 10 4" xfId="364"/>
    <cellStyle name="Normal 10 4 2" xfId="740"/>
    <cellStyle name="Normal 10 5" xfId="382"/>
    <cellStyle name="Normal 10 5 2" xfId="750"/>
    <cellStyle name="Normal 10 6" xfId="398"/>
    <cellStyle name="Normal 10 6 2" xfId="758"/>
    <cellStyle name="Normal 10 7" xfId="414"/>
    <cellStyle name="Normal 10 7 2" xfId="766"/>
    <cellStyle name="Normal 10 8" xfId="428"/>
    <cellStyle name="Normal 10 8 2" xfId="773"/>
    <cellStyle name="Normal 10 9" xfId="83"/>
    <cellStyle name="Normal 11" xfId="69"/>
    <cellStyle name="Normal 11 10" xfId="442"/>
    <cellStyle name="Normal 11 11" xfId="528"/>
    <cellStyle name="Normal 11 2" xfId="201"/>
    <cellStyle name="Normal 11 2 2" xfId="557"/>
    <cellStyle name="Normal 11 3" xfId="323"/>
    <cellStyle name="Normal 11 3 2" xfId="710"/>
    <cellStyle name="Normal 11 4" xfId="357"/>
    <cellStyle name="Normal 11 4 2" xfId="736"/>
    <cellStyle name="Normal 11 5" xfId="375"/>
    <cellStyle name="Normal 11 5 2" xfId="746"/>
    <cellStyle name="Normal 11 6" xfId="393"/>
    <cellStyle name="Normal 11 6 2" xfId="756"/>
    <cellStyle name="Normal 11 7" xfId="409"/>
    <cellStyle name="Normal 11 7 2" xfId="764"/>
    <cellStyle name="Normal 11 8" xfId="425"/>
    <cellStyle name="Normal 11 8 2" xfId="772"/>
    <cellStyle name="Normal 11 9" xfId="84"/>
    <cellStyle name="Normal 12" xfId="70"/>
    <cellStyle name="Normal 12 10" xfId="443"/>
    <cellStyle name="Normal 12 11" xfId="529"/>
    <cellStyle name="Normal 12 2" xfId="202"/>
    <cellStyle name="Normal 12 2 2" xfId="558"/>
    <cellStyle name="Normal 12 3" xfId="324"/>
    <cellStyle name="Normal 12 3 2" xfId="711"/>
    <cellStyle name="Normal 12 4" xfId="285"/>
    <cellStyle name="Normal 12 4 2" xfId="694"/>
    <cellStyle name="Normal 12 5" xfId="329"/>
    <cellStyle name="Normal 12 5 2" xfId="715"/>
    <cellStyle name="Normal 12 6" xfId="280"/>
    <cellStyle name="Normal 12 6 2" xfId="690"/>
    <cellStyle name="Normal 12 7" xfId="333"/>
    <cellStyle name="Normal 12 7 2" xfId="719"/>
    <cellStyle name="Normal 12 8" xfId="276"/>
    <cellStyle name="Normal 12 8 2" xfId="686"/>
    <cellStyle name="Normal 12 9" xfId="85"/>
    <cellStyle name="Normal 13" xfId="203"/>
    <cellStyle name="Normal 13 2" xfId="560"/>
    <cellStyle name="Normal 13 3" xfId="563"/>
    <cellStyle name="Normal 13 4" xfId="559"/>
    <cellStyle name="Normal 14" xfId="204"/>
    <cellStyle name="Normal 14 2" xfId="68"/>
    <cellStyle name="Normal 14 2 2" xfId="86"/>
    <cellStyle name="Normal 14 2 2 2" xfId="556"/>
    <cellStyle name="Normal 14 2 3" xfId="444"/>
    <cellStyle name="Normal 14 2 4" xfId="527"/>
    <cellStyle name="Normal 14 3" xfId="495"/>
    <cellStyle name="Normal 15" xfId="18"/>
    <cellStyle name="Normal 15 10" xfId="445"/>
    <cellStyle name="Normal 15 11" xfId="506"/>
    <cellStyle name="Normal 15 2" xfId="205"/>
    <cellStyle name="Normal 15 2 2" xfId="537"/>
    <cellStyle name="Normal 15 3" xfId="327"/>
    <cellStyle name="Normal 15 3 2" xfId="714"/>
    <cellStyle name="Normal 15 4" xfId="282"/>
    <cellStyle name="Normal 15 4 2" xfId="691"/>
    <cellStyle name="Normal 15 5" xfId="359"/>
    <cellStyle name="Normal 15 5 2" xfId="737"/>
    <cellStyle name="Normal 15 6" xfId="377"/>
    <cellStyle name="Normal 15 6 2" xfId="747"/>
    <cellStyle name="Normal 15 7" xfId="395"/>
    <cellStyle name="Normal 15 7 2" xfId="757"/>
    <cellStyle name="Normal 15 8" xfId="411"/>
    <cellStyle name="Normal 15 8 2" xfId="765"/>
    <cellStyle name="Normal 15 9" xfId="87"/>
    <cellStyle name="Normal 16" xfId="206"/>
    <cellStyle name="Normal 16 2" xfId="494"/>
    <cellStyle name="Normal 17" xfId="207"/>
    <cellStyle name="Normal 17 2" xfId="564"/>
    <cellStyle name="Normal 18" xfId="61"/>
    <cellStyle name="Normal 18 10" xfId="446"/>
    <cellStyle name="Normal 18 11" xfId="521"/>
    <cellStyle name="Normal 18 2" xfId="208"/>
    <cellStyle name="Normal 18 2 2" xfId="210"/>
    <cellStyle name="Normal 18 2 2 2" xfId="634"/>
    <cellStyle name="Normal 18 2 3" xfId="253"/>
    <cellStyle name="Normal 18 2 3 2" xfId="667"/>
    <cellStyle name="Normal 18 2 4" xfId="266"/>
    <cellStyle name="Normal 18 2 4 2" xfId="679"/>
    <cellStyle name="Normal 18 2 5" xfId="550"/>
    <cellStyle name="Normal 18 3" xfId="330"/>
    <cellStyle name="Normal 18 3 2" xfId="716"/>
    <cellStyle name="Normal 18 4" xfId="279"/>
    <cellStyle name="Normal 18 4 2" xfId="689"/>
    <cellStyle name="Normal 18 5" xfId="334"/>
    <cellStyle name="Normal 18 5 2" xfId="720"/>
    <cellStyle name="Normal 18 6" xfId="275"/>
    <cellStyle name="Normal 18 6 2" xfId="685"/>
    <cellStyle name="Normal 18 7" xfId="338"/>
    <cellStyle name="Normal 18 7 2" xfId="723"/>
    <cellStyle name="Normal 18 8" xfId="273"/>
    <cellStyle name="Normal 18 8 2" xfId="684"/>
    <cellStyle name="Normal 18 9" xfId="88"/>
    <cellStyle name="Normal 19" xfId="211"/>
    <cellStyle name="Normal 19 2" xfId="565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3 2" xfId="214"/>
    <cellStyle name="Normal 2 3 3" xfId="336"/>
    <cellStyle name="Normal 2 3 4" xfId="274"/>
    <cellStyle name="Normal 2 3 5" xfId="339"/>
    <cellStyle name="Normal 2 3 6" xfId="272"/>
    <cellStyle name="Normal 2 3 7" xfId="340"/>
    <cellStyle name="Normal 2 3 8" xfId="271"/>
    <cellStyle name="Normal 2 4" xfId="52"/>
    <cellStyle name="Normal 2_ARR FINAL" xfId="32"/>
    <cellStyle name="Normal 20" xfId="215"/>
    <cellStyle name="Normal 20 2" xfId="566"/>
    <cellStyle name="Normal 21" xfId="216"/>
    <cellStyle name="Normal 21 2" xfId="567"/>
    <cellStyle name="Normal 22" xfId="217"/>
    <cellStyle name="Normal 22 2" xfId="533"/>
    <cellStyle name="Normal 23" xfId="218"/>
    <cellStyle name="Normal 23 2" xfId="568"/>
    <cellStyle name="Normal 24" xfId="219"/>
    <cellStyle name="Normal 24 2" xfId="504"/>
    <cellStyle name="Normal 24 3" xfId="637"/>
    <cellStyle name="Normal 25" xfId="220"/>
    <cellStyle name="Normal 25 2" xfId="562"/>
    <cellStyle name="Normal 25 3" xfId="638"/>
    <cellStyle name="Normal 26" xfId="221"/>
    <cellStyle name="Normal 26 2" xfId="572"/>
    <cellStyle name="Normal 26 3" xfId="639"/>
    <cellStyle name="Normal 27" xfId="222"/>
    <cellStyle name="Normal 27 2" xfId="640"/>
    <cellStyle name="Normal 28" xfId="223"/>
    <cellStyle name="Normal 28 2" xfId="641"/>
    <cellStyle name="Normal 29" xfId="224"/>
    <cellStyle name="Normal 29 2" xfId="642"/>
    <cellStyle name="Normal 3" xfId="13"/>
    <cellStyle name="Normal 3 10" xfId="270"/>
    <cellStyle name="Normal 3 10 2" xfId="683"/>
    <cellStyle name="Normal 3 11" xfId="343"/>
    <cellStyle name="Normal 3 11 2" xfId="726"/>
    <cellStyle name="Normal 3 12" xfId="135"/>
    <cellStyle name="Normal 3 12 2" xfId="594"/>
    <cellStyle name="Normal 3 13" xfId="361"/>
    <cellStyle name="Normal 3 13 2" xfId="738"/>
    <cellStyle name="Normal 3 14" xfId="379"/>
    <cellStyle name="Normal 3 14 2" xfId="748"/>
    <cellStyle name="Normal 3 2" xfId="33"/>
    <cellStyle name="Normal 3 2 2" xfId="58"/>
    <cellStyle name="Normal 3 2 3" xfId="226"/>
    <cellStyle name="Normal 3 2 3 2" xfId="644"/>
    <cellStyle name="Normal 3 2 4" xfId="342"/>
    <cellStyle name="Normal 3 2 4 2" xfId="725"/>
    <cellStyle name="Normal 3 2 5" xfId="269"/>
    <cellStyle name="Normal 3 2 5 2" xfId="682"/>
    <cellStyle name="Normal 3 2 6" xfId="344"/>
    <cellStyle name="Normal 3 2 6 2" xfId="727"/>
    <cellStyle name="Normal 3 2 7" xfId="143"/>
    <cellStyle name="Normal 3 2 7 2" xfId="601"/>
    <cellStyle name="Normal 3 2 8" xfId="363"/>
    <cellStyle name="Normal 3 2 8 2" xfId="739"/>
    <cellStyle name="Normal 3 2 9" xfId="381"/>
    <cellStyle name="Normal 3 2 9 2" xfId="749"/>
    <cellStyle name="Normal 3 3" xfId="225"/>
    <cellStyle name="Normal 3 3 2" xfId="643"/>
    <cellStyle name="Normal 3 4" xfId="227"/>
    <cellStyle name="Normal 3 4 2" xfId="645"/>
    <cellStyle name="Normal 3 5" xfId="228"/>
    <cellStyle name="Normal 3 5 2" xfId="646"/>
    <cellStyle name="Normal 3 6" xfId="229"/>
    <cellStyle name="Normal 3 6 2" xfId="647"/>
    <cellStyle name="Normal 3 7" xfId="230"/>
    <cellStyle name="Normal 3 7 2" xfId="648"/>
    <cellStyle name="Normal 3 8" xfId="231"/>
    <cellStyle name="Normal 3 8 2" xfId="649"/>
    <cellStyle name="Normal 3 9" xfId="341"/>
    <cellStyle name="Normal 3 9 2" xfId="724"/>
    <cellStyle name="Normal 30" xfId="232"/>
    <cellStyle name="Normal 30 2" xfId="650"/>
    <cellStyle name="Normal 31" xfId="247"/>
    <cellStyle name="Normal 31 2" xfId="662"/>
    <cellStyle name="Normal 32" xfId="254"/>
    <cellStyle name="Normal 32 2" xfId="668"/>
    <cellStyle name="Normal 33" xfId="256"/>
    <cellStyle name="Normal 33 2" xfId="670"/>
    <cellStyle name="Normal 34" xfId="258"/>
    <cellStyle name="Normal 34 2" xfId="672"/>
    <cellStyle name="Normal 35" xfId="260"/>
    <cellStyle name="Normal 35 2" xfId="674"/>
    <cellStyle name="Normal 36" xfId="268"/>
    <cellStyle name="Normal 36 2" xfId="681"/>
    <cellStyle name="Normal 37" xfId="435"/>
    <cellStyle name="Normal 38" xfId="451"/>
    <cellStyle name="Normal 39" xfId="22"/>
    <cellStyle name="Normal 4" xfId="34"/>
    <cellStyle name="Normal 4 10" xfId="167"/>
    <cellStyle name="Normal 4 10 2" xfId="620"/>
    <cellStyle name="Normal 4 11" xfId="369"/>
    <cellStyle name="Normal 4 11 2" xfId="741"/>
    <cellStyle name="Normal 4 12" xfId="387"/>
    <cellStyle name="Normal 4 12 2" xfId="751"/>
    <cellStyle name="Normal 4 13" xfId="403"/>
    <cellStyle name="Normal 4 13 2" xfId="759"/>
    <cellStyle name="Normal 4 14" xfId="418"/>
    <cellStyle name="Normal 4 14 2" xfId="767"/>
    <cellStyle name="Normal 4 2" xfId="59"/>
    <cellStyle name="Normal 4 2 2" xfId="234"/>
    <cellStyle name="Normal 4 2 2 2" xfId="652"/>
    <cellStyle name="Normal 4 2 3" xfId="346"/>
    <cellStyle name="Normal 4 2 3 2" xfId="729"/>
    <cellStyle name="Normal 4 2 4" xfId="195"/>
    <cellStyle name="Normal 4 2 4 2" xfId="632"/>
    <cellStyle name="Normal 4 2 5" xfId="347"/>
    <cellStyle name="Normal 4 2 5 2" xfId="730"/>
    <cellStyle name="Normal 4 2 6" xfId="212"/>
    <cellStyle name="Normal 4 2 6 2" xfId="635"/>
    <cellStyle name="Normal 4 2 7" xfId="350"/>
    <cellStyle name="Normal 4 2 7 2" xfId="731"/>
    <cellStyle name="Normal 4 2 8" xfId="213"/>
    <cellStyle name="Normal 4 2 8 2" xfId="636"/>
    <cellStyle name="Normal 4 3" xfId="233"/>
    <cellStyle name="Normal 4 3 2" xfId="651"/>
    <cellStyle name="Normal 4 4" xfId="235"/>
    <cellStyle name="Normal 4 4 2" xfId="653"/>
    <cellStyle name="Normal 4 5" xfId="236"/>
    <cellStyle name="Normal 4 5 2" xfId="654"/>
    <cellStyle name="Normal 4 6" xfId="237"/>
    <cellStyle name="Normal 4 6 2" xfId="655"/>
    <cellStyle name="Normal 4 7" xfId="238"/>
    <cellStyle name="Normal 4 7 2" xfId="656"/>
    <cellStyle name="Normal 4 8" xfId="239"/>
    <cellStyle name="Normal 4 8 2" xfId="657"/>
    <cellStyle name="Normal 4 9" xfId="345"/>
    <cellStyle name="Normal 4 9 2" xfId="728"/>
    <cellStyle name="Normal 40" xfId="453"/>
    <cellStyle name="Normal 41" xfId="455"/>
    <cellStyle name="Normal 42" xfId="457"/>
    <cellStyle name="Normal 43" xfId="493"/>
    <cellStyle name="Normal 44" xfId="509"/>
    <cellStyle name="Normal 45" xfId="779"/>
    <cellStyle name="Normal 46" xfId="623"/>
    <cellStyle name="Normal 47" xfId="782"/>
    <cellStyle name="Normal 48" xfId="780"/>
    <cellStyle name="Normal 5" xfId="35"/>
    <cellStyle name="Normal 5 10" xfId="89"/>
    <cellStyle name="Normal 5 11" xfId="447"/>
    <cellStyle name="Normal 5 12" xfId="517"/>
    <cellStyle name="Normal 5 2" xfId="36"/>
    <cellStyle name="Normal 5 3" xfId="240"/>
    <cellStyle name="Normal 5 3 2" xfId="547"/>
    <cellStyle name="Normal 5 4" xfId="351"/>
    <cellStyle name="Normal 5 5" xfId="370"/>
    <cellStyle name="Normal 5 6" xfId="388"/>
    <cellStyle name="Normal 5 7" xfId="404"/>
    <cellStyle name="Normal 5 8" xfId="419"/>
    <cellStyle name="Normal 5 9" xfId="430"/>
    <cellStyle name="Normal 6" xfId="37"/>
    <cellStyle name="Normal 6 2" xfId="241"/>
    <cellStyle name="Normal 6 2 2" xfId="658"/>
    <cellStyle name="Normal 6 3" xfId="352"/>
    <cellStyle name="Normal 6 3 2" xfId="732"/>
    <cellStyle name="Normal 6 4" xfId="371"/>
    <cellStyle name="Normal 6 4 2" xfId="742"/>
    <cellStyle name="Normal 6 5" xfId="389"/>
    <cellStyle name="Normal 6 5 2" xfId="752"/>
    <cellStyle name="Normal 6 6" xfId="405"/>
    <cellStyle name="Normal 6 6 2" xfId="760"/>
    <cellStyle name="Normal 6 7" xfId="420"/>
    <cellStyle name="Normal 6 7 2" xfId="768"/>
    <cellStyle name="Normal 6 8" xfId="431"/>
    <cellStyle name="Normal 6 8 2" xfId="774"/>
    <cellStyle name="Normal 7" xfId="38"/>
    <cellStyle name="Normal 7 10" xfId="448"/>
    <cellStyle name="Normal 7 11" xfId="518"/>
    <cellStyle name="Normal 7 2" xfId="242"/>
    <cellStyle name="Normal 7 2 2" xfId="244"/>
    <cellStyle name="Normal 7 2 2 2" xfId="659"/>
    <cellStyle name="Normal 7 2 3" xfId="548"/>
    <cellStyle name="Normal 7 3" xfId="353"/>
    <cellStyle name="Normal 7 3 2" xfId="733"/>
    <cellStyle name="Normal 7 4" xfId="372"/>
    <cellStyle name="Normal 7 4 2" xfId="743"/>
    <cellStyle name="Normal 7 5" xfId="390"/>
    <cellStyle name="Normal 7 5 2" xfId="753"/>
    <cellStyle name="Normal 7 6" xfId="406"/>
    <cellStyle name="Normal 7 6 2" xfId="761"/>
    <cellStyle name="Normal 7 7" xfId="421"/>
    <cellStyle name="Normal 7 7 2" xfId="769"/>
    <cellStyle name="Normal 7 8" xfId="432"/>
    <cellStyle name="Normal 7 8 2" xfId="775"/>
    <cellStyle name="Normal 7 9" xfId="90"/>
    <cellStyle name="Normal 8" xfId="53"/>
    <cellStyle name="Normal 8 2" xfId="245"/>
    <cellStyle name="Normal 8 2 2" xfId="660"/>
    <cellStyle name="Normal 8 3" xfId="355"/>
    <cellStyle name="Normal 8 3 2" xfId="734"/>
    <cellStyle name="Normal 8 4" xfId="373"/>
    <cellStyle name="Normal 8 4 2" xfId="744"/>
    <cellStyle name="Normal 8 5" xfId="391"/>
    <cellStyle name="Normal 8 5 2" xfId="754"/>
    <cellStyle name="Normal 8 6" xfId="407"/>
    <cellStyle name="Normal 8 6 2" xfId="762"/>
    <cellStyle name="Normal 8 7" xfId="423"/>
    <cellStyle name="Normal 8 7 2" xfId="770"/>
    <cellStyle name="Normal 8 8" xfId="433"/>
    <cellStyle name="Normal 8 8 2" xfId="776"/>
    <cellStyle name="Normal 9" xfId="54"/>
    <cellStyle name="Normal 9 2" xfId="246"/>
    <cellStyle name="Normal 9 2 2" xfId="661"/>
    <cellStyle name="Normal 9 3" xfId="356"/>
    <cellStyle name="Normal 9 3 2" xfId="735"/>
    <cellStyle name="Normal 9 4" xfId="374"/>
    <cellStyle name="Normal 9 4 2" xfId="745"/>
    <cellStyle name="Normal 9 5" xfId="392"/>
    <cellStyle name="Normal 9 5 2" xfId="755"/>
    <cellStyle name="Normal 9 6" xfId="408"/>
    <cellStyle name="Normal 9 6 2" xfId="763"/>
    <cellStyle name="Normal 9 7" xfId="424"/>
    <cellStyle name="Normal 9 7 2" xfId="771"/>
    <cellStyle name="Normal 9 8" xfId="434"/>
    <cellStyle name="Normal 9 8 2" xfId="777"/>
    <cellStyle name="Normal_FORMATS 5 YEAR ALOKE 2" xfId="14"/>
    <cellStyle name="Note 2" xfId="535"/>
    <cellStyle name="Output" xfId="468" builtinId="21" customBuiltin="1"/>
    <cellStyle name="Percent [0]_#6 Temps &amp; Contractors" xfId="15"/>
    <cellStyle name="Percent [2]" xfId="16"/>
    <cellStyle name="Percent 10" xfId="532"/>
    <cellStyle name="Percent 11" xfId="571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1"/>
    <cellStyle name="Percent 41 2 2" xfId="539"/>
    <cellStyle name="Percent 41 3" xfId="449"/>
    <cellStyle name="Percent 41 4" xfId="508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92"/>
    <cellStyle name="Percent 7 2 2" xfId="554"/>
    <cellStyle name="Percent 7 3" xfId="450"/>
    <cellStyle name="Percent 7 4" xfId="525"/>
    <cellStyle name="Percent 8" xfId="540"/>
    <cellStyle name="Percent 9" xfId="510"/>
    <cellStyle name="Style 1" xfId="17"/>
    <cellStyle name="Style 2" xfId="55"/>
    <cellStyle name="Title" xfId="460" builtinId="15" customBuiltin="1"/>
    <cellStyle name="Title 2" xfId="536"/>
    <cellStyle name="Total" xfId="474" builtinId="25" customBuiltin="1"/>
    <cellStyle name="Warning Text" xfId="472" builtinId="11" customBuiltin="1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8"/>
  <sheetViews>
    <sheetView showGridLines="0" zoomScale="80" zoomScaleNormal="80" zoomScaleSheetLayoutView="80" workbookViewId="0">
      <selection activeCell="H10" sqref="H10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8" width="18.7109375" style="6" customWidth="1"/>
    <col min="9" max="16384" width="9.28515625" style="6"/>
  </cols>
  <sheetData>
    <row r="2" spans="2:8" ht="15.75">
      <c r="B2" s="251" t="s">
        <v>395</v>
      </c>
      <c r="C2" s="251"/>
      <c r="D2" s="252"/>
      <c r="E2" s="252"/>
      <c r="F2" s="1"/>
      <c r="G2" s="1"/>
      <c r="H2" s="1"/>
    </row>
    <row r="3" spans="2:8" ht="15.75">
      <c r="B3" s="251" t="s">
        <v>466</v>
      </c>
      <c r="C3" s="251"/>
      <c r="D3" s="252"/>
      <c r="E3" s="252"/>
      <c r="F3" s="1"/>
      <c r="G3" s="1"/>
      <c r="H3" s="1"/>
    </row>
    <row r="4" spans="2:8" s="12" customFormat="1" ht="15.75">
      <c r="B4" s="253" t="s">
        <v>366</v>
      </c>
      <c r="C4" s="253"/>
      <c r="D4" s="252"/>
      <c r="E4" s="252"/>
      <c r="F4" s="1"/>
      <c r="G4" s="1"/>
      <c r="H4" s="1"/>
    </row>
    <row r="5" spans="2:8" ht="15.75">
      <c r="D5" s="67" t="s">
        <v>368</v>
      </c>
    </row>
    <row r="6" spans="2:8" ht="15.75">
      <c r="G6" s="7"/>
    </row>
    <row r="7" spans="2:8" ht="15.75">
      <c r="B7" s="13" t="s">
        <v>189</v>
      </c>
      <c r="C7" s="13" t="s">
        <v>367</v>
      </c>
      <c r="D7" s="14" t="s">
        <v>6</v>
      </c>
      <c r="E7" s="14" t="s">
        <v>369</v>
      </c>
    </row>
    <row r="8" spans="2:8">
      <c r="B8" s="8">
        <v>1</v>
      </c>
      <c r="C8" s="8" t="s">
        <v>5</v>
      </c>
      <c r="D8" s="9" t="s">
        <v>371</v>
      </c>
      <c r="E8" s="10"/>
    </row>
    <row r="9" spans="2:8">
      <c r="B9" s="8">
        <f>B8+1</f>
        <v>2</v>
      </c>
      <c r="C9" s="8" t="s">
        <v>262</v>
      </c>
      <c r="D9" s="9" t="s">
        <v>373</v>
      </c>
      <c r="E9" s="10"/>
    </row>
    <row r="10" spans="2:8">
      <c r="B10" s="8">
        <f>B9+1</f>
        <v>3</v>
      </c>
      <c r="C10" s="8" t="s">
        <v>22</v>
      </c>
      <c r="D10" s="9" t="s">
        <v>374</v>
      </c>
      <c r="E10" s="10"/>
    </row>
    <row r="11" spans="2:8">
      <c r="B11" s="8">
        <f>B10+1</f>
        <v>4</v>
      </c>
      <c r="C11" s="8" t="s">
        <v>23</v>
      </c>
      <c r="D11" s="9" t="s">
        <v>375</v>
      </c>
      <c r="E11" s="10"/>
    </row>
    <row r="12" spans="2:8">
      <c r="B12" s="8">
        <f>B11+1</f>
        <v>5</v>
      </c>
      <c r="C12" s="8" t="s">
        <v>263</v>
      </c>
      <c r="D12" s="9" t="s">
        <v>376</v>
      </c>
      <c r="E12" s="10"/>
    </row>
    <row r="13" spans="2:8">
      <c r="B13" s="8">
        <f t="shared" ref="B13:B28" si="0">B12+1</f>
        <v>6</v>
      </c>
      <c r="C13" s="8" t="s">
        <v>20</v>
      </c>
      <c r="D13" s="9" t="s">
        <v>216</v>
      </c>
      <c r="E13" s="10"/>
    </row>
    <row r="14" spans="2:8">
      <c r="B14" s="8">
        <f t="shared" si="0"/>
        <v>7</v>
      </c>
      <c r="C14" s="8" t="s">
        <v>25</v>
      </c>
      <c r="D14" s="9" t="s">
        <v>377</v>
      </c>
      <c r="E14" s="10"/>
    </row>
    <row r="15" spans="2:8">
      <c r="B15" s="8">
        <f t="shared" si="0"/>
        <v>8</v>
      </c>
      <c r="C15" s="8" t="s">
        <v>26</v>
      </c>
      <c r="D15" s="11" t="s">
        <v>186</v>
      </c>
      <c r="E15" s="10"/>
    </row>
    <row r="16" spans="2:8">
      <c r="B16" s="8">
        <f t="shared" si="0"/>
        <v>9</v>
      </c>
      <c r="C16" s="8" t="s">
        <v>21</v>
      </c>
      <c r="D16" s="11" t="s">
        <v>378</v>
      </c>
      <c r="E16" s="10"/>
    </row>
    <row r="17" spans="2:5">
      <c r="B17" s="8">
        <f t="shared" si="0"/>
        <v>10</v>
      </c>
      <c r="C17" s="8" t="s">
        <v>27</v>
      </c>
      <c r="D17" s="9" t="s">
        <v>227</v>
      </c>
      <c r="E17" s="10"/>
    </row>
    <row r="18" spans="2:5">
      <c r="B18" s="8">
        <f t="shared" si="0"/>
        <v>11</v>
      </c>
      <c r="C18" s="8" t="s">
        <v>28</v>
      </c>
      <c r="D18" s="11" t="s">
        <v>285</v>
      </c>
      <c r="E18" s="10"/>
    </row>
    <row r="19" spans="2:5">
      <c r="B19" s="8">
        <f t="shared" si="0"/>
        <v>12</v>
      </c>
      <c r="C19" s="8" t="s">
        <v>29</v>
      </c>
      <c r="D19" s="11" t="s">
        <v>228</v>
      </c>
      <c r="E19" s="10"/>
    </row>
    <row r="20" spans="2:5">
      <c r="B20" s="8">
        <f t="shared" si="0"/>
        <v>13</v>
      </c>
      <c r="C20" s="8" t="s">
        <v>30</v>
      </c>
      <c r="D20" s="11" t="s">
        <v>152</v>
      </c>
      <c r="E20" s="10"/>
    </row>
    <row r="21" spans="2:5">
      <c r="B21" s="8">
        <f t="shared" si="0"/>
        <v>14</v>
      </c>
      <c r="C21" s="8" t="s">
        <v>31</v>
      </c>
      <c r="D21" s="11" t="s">
        <v>24</v>
      </c>
      <c r="E21" s="10"/>
    </row>
    <row r="22" spans="2:5">
      <c r="B22" s="8">
        <f t="shared" si="0"/>
        <v>15</v>
      </c>
      <c r="C22" s="8" t="s">
        <v>32</v>
      </c>
      <c r="D22" s="9" t="s">
        <v>379</v>
      </c>
      <c r="E22" s="10"/>
    </row>
    <row r="23" spans="2:5">
      <c r="B23" s="8">
        <f t="shared" si="0"/>
        <v>16</v>
      </c>
      <c r="C23" s="8" t="s">
        <v>33</v>
      </c>
      <c r="D23" s="9" t="s">
        <v>380</v>
      </c>
      <c r="E23" s="10"/>
    </row>
    <row r="24" spans="2:5">
      <c r="B24" s="8">
        <f t="shared" si="0"/>
        <v>17</v>
      </c>
      <c r="C24" s="8" t="s">
        <v>160</v>
      </c>
      <c r="D24" s="9" t="s">
        <v>231</v>
      </c>
      <c r="E24" s="10"/>
    </row>
    <row r="25" spans="2:5">
      <c r="B25" s="8">
        <f t="shared" si="0"/>
        <v>18</v>
      </c>
      <c r="C25" s="8" t="s">
        <v>165</v>
      </c>
      <c r="D25" s="9" t="s">
        <v>381</v>
      </c>
      <c r="E25" s="10"/>
    </row>
    <row r="26" spans="2:5">
      <c r="B26" s="8">
        <f t="shared" si="0"/>
        <v>19</v>
      </c>
      <c r="C26" s="8" t="s">
        <v>370</v>
      </c>
      <c r="D26" s="9" t="s">
        <v>224</v>
      </c>
      <c r="E26" s="10"/>
    </row>
    <row r="27" spans="2:5">
      <c r="B27" s="8">
        <f t="shared" si="0"/>
        <v>20</v>
      </c>
      <c r="C27" s="8" t="s">
        <v>218</v>
      </c>
      <c r="D27" s="9" t="s">
        <v>382</v>
      </c>
      <c r="E27" s="10"/>
    </row>
    <row r="28" spans="2:5">
      <c r="B28" s="8">
        <f t="shared" si="0"/>
        <v>21</v>
      </c>
      <c r="C28" s="8" t="s">
        <v>219</v>
      </c>
      <c r="D28" s="11" t="s">
        <v>383</v>
      </c>
      <c r="E28" s="10"/>
    </row>
  </sheetData>
  <mergeCells count="3">
    <mergeCell ref="B2:E2"/>
    <mergeCell ref="B4:E4"/>
    <mergeCell ref="B3:E3"/>
  </mergeCells>
  <phoneticPr fontId="13" type="noConversion"/>
  <pageMargins left="0.55000000000000004" right="0.48622047200000001" top="1.1023622047244099" bottom="0.98425196850393704" header="0.23622047244094499" footer="0.23622047244094499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24"/>
  <sheetViews>
    <sheetView showGridLines="0" view="pageBreakPreview" zoomScale="90" zoomScaleNormal="93" zoomScaleSheetLayoutView="90" workbookViewId="0">
      <selection activeCell="H10" sqref="H10"/>
    </sheetView>
  </sheetViews>
  <sheetFormatPr defaultColWidth="9.28515625" defaultRowHeight="14.25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>
      <c r="B1" s="26"/>
    </row>
    <row r="2" spans="2:15" ht="15">
      <c r="H2" s="35" t="s">
        <v>396</v>
      </c>
      <c r="I2" s="36"/>
    </row>
    <row r="3" spans="2:15" ht="15">
      <c r="H3" s="35" t="s">
        <v>467</v>
      </c>
      <c r="I3" s="36"/>
    </row>
    <row r="4" spans="2:15" ht="15">
      <c r="H4" s="38" t="s">
        <v>268</v>
      </c>
      <c r="I4" s="38"/>
    </row>
    <row r="5" spans="2:15" ht="15.75" thickBot="1">
      <c r="K5" s="38"/>
      <c r="O5" s="35" t="s">
        <v>4</v>
      </c>
    </row>
    <row r="6" spans="2:15" ht="15">
      <c r="B6" s="278" t="s">
        <v>397</v>
      </c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280"/>
    </row>
    <row r="7" spans="2:15" ht="14.25" customHeight="1">
      <c r="B7" s="281" t="s">
        <v>2</v>
      </c>
      <c r="C7" s="283" t="s">
        <v>261</v>
      </c>
      <c r="D7" s="285" t="s">
        <v>249</v>
      </c>
      <c r="E7" s="285" t="s">
        <v>250</v>
      </c>
      <c r="F7" s="285" t="s">
        <v>251</v>
      </c>
      <c r="G7" s="285"/>
      <c r="H7" s="285"/>
      <c r="I7" s="285"/>
      <c r="J7" s="285" t="s">
        <v>252</v>
      </c>
      <c r="K7" s="285"/>
      <c r="L7" s="285"/>
      <c r="M7" s="285"/>
      <c r="N7" s="285" t="s">
        <v>253</v>
      </c>
      <c r="O7" s="287"/>
    </row>
    <row r="8" spans="2:15" ht="60.75" thickBot="1">
      <c r="B8" s="282"/>
      <c r="C8" s="284"/>
      <c r="D8" s="286"/>
      <c r="E8" s="286"/>
      <c r="F8" s="65" t="s">
        <v>254</v>
      </c>
      <c r="G8" s="65" t="s">
        <v>136</v>
      </c>
      <c r="H8" s="65" t="s">
        <v>255</v>
      </c>
      <c r="I8" s="65" t="s">
        <v>256</v>
      </c>
      <c r="J8" s="65" t="s">
        <v>257</v>
      </c>
      <c r="K8" s="65" t="s">
        <v>136</v>
      </c>
      <c r="L8" s="65" t="s">
        <v>258</v>
      </c>
      <c r="M8" s="65" t="s">
        <v>259</v>
      </c>
      <c r="N8" s="65" t="s">
        <v>254</v>
      </c>
      <c r="O8" s="66" t="s">
        <v>256</v>
      </c>
    </row>
    <row r="9" spans="2:15">
      <c r="B9" s="165">
        <v>1</v>
      </c>
      <c r="C9" s="194" t="s">
        <v>403</v>
      </c>
      <c r="D9" s="191">
        <v>1000</v>
      </c>
      <c r="E9" s="190">
        <v>0</v>
      </c>
      <c r="F9" s="223">
        <v>0.30455300000000002</v>
      </c>
      <c r="G9" s="224">
        <v>0</v>
      </c>
      <c r="H9" s="224">
        <v>0</v>
      </c>
      <c r="I9" s="187">
        <f t="shared" ref="I9:I21" si="0">F9+G9+H9</f>
        <v>0.30455300000000002</v>
      </c>
      <c r="J9" s="223">
        <v>0</v>
      </c>
      <c r="K9" s="223">
        <v>0</v>
      </c>
      <c r="L9" s="189">
        <v>0</v>
      </c>
      <c r="M9" s="187">
        <f t="shared" ref="M9:M21" si="1">J9+K9+L9</f>
        <v>0</v>
      </c>
      <c r="N9" s="189">
        <f t="shared" ref="N9:N21" si="2">+F9-J9</f>
        <v>0.30455300000000002</v>
      </c>
      <c r="O9" s="189">
        <f t="shared" ref="O9:O21" si="3">+I9-M9</f>
        <v>0.30455300000000002</v>
      </c>
    </row>
    <row r="10" spans="2:15">
      <c r="B10" s="165">
        <v>2</v>
      </c>
      <c r="C10" s="194" t="s">
        <v>410</v>
      </c>
      <c r="D10" s="191">
        <v>1010</v>
      </c>
      <c r="E10" s="190"/>
      <c r="F10" s="223"/>
      <c r="G10" s="223"/>
      <c r="H10" s="223"/>
      <c r="I10" s="187">
        <f t="shared" si="0"/>
        <v>0</v>
      </c>
      <c r="J10" s="223"/>
      <c r="K10" s="223"/>
      <c r="L10" s="186"/>
      <c r="M10" s="187">
        <f t="shared" si="1"/>
        <v>0</v>
      </c>
      <c r="N10" s="186">
        <f t="shared" si="2"/>
        <v>0</v>
      </c>
      <c r="O10" s="186">
        <f t="shared" si="3"/>
        <v>0</v>
      </c>
    </row>
    <row r="11" spans="2:15">
      <c r="B11" s="165">
        <v>3</v>
      </c>
      <c r="C11" s="194" t="s">
        <v>126</v>
      </c>
      <c r="D11" s="191">
        <v>1100</v>
      </c>
      <c r="E11" s="181">
        <v>3.3399999999999999E-2</v>
      </c>
      <c r="F11" s="223">
        <v>2.3185764999999998</v>
      </c>
      <c r="G11" s="224">
        <v>0</v>
      </c>
      <c r="H11" s="224">
        <v>0</v>
      </c>
      <c r="I11" s="187">
        <f t="shared" si="0"/>
        <v>2.3185764999999998</v>
      </c>
      <c r="J11" s="223">
        <v>1.8723307179999999</v>
      </c>
      <c r="K11" s="223">
        <v>0.21441406200000002</v>
      </c>
      <c r="L11" s="187">
        <v>0</v>
      </c>
      <c r="M11" s="187">
        <f t="shared" si="1"/>
        <v>2.0867447800000001</v>
      </c>
      <c r="N11" s="189">
        <f t="shared" si="2"/>
        <v>0.44624578199999987</v>
      </c>
      <c r="O11" s="189">
        <f t="shared" si="3"/>
        <v>0.23183171999999974</v>
      </c>
    </row>
    <row r="12" spans="2:15">
      <c r="B12" s="165">
        <f>+B11+1</f>
        <v>4</v>
      </c>
      <c r="C12" s="194" t="s">
        <v>404</v>
      </c>
      <c r="D12" s="191">
        <v>1200</v>
      </c>
      <c r="E12" s="181">
        <v>5.28E-2</v>
      </c>
      <c r="F12" s="225">
        <v>0.783107412</v>
      </c>
      <c r="G12" s="224">
        <v>0</v>
      </c>
      <c r="H12" s="224">
        <v>0</v>
      </c>
      <c r="I12" s="187">
        <f t="shared" si="0"/>
        <v>0.783107412</v>
      </c>
      <c r="J12" s="225">
        <v>0.64771692999999997</v>
      </c>
      <c r="K12" s="223">
        <v>0.06</v>
      </c>
      <c r="L12" s="187">
        <v>0</v>
      </c>
      <c r="M12" s="187">
        <f t="shared" si="1"/>
        <v>0.70771692999999991</v>
      </c>
      <c r="N12" s="189">
        <f t="shared" si="2"/>
        <v>0.13539048200000003</v>
      </c>
      <c r="O12" s="189">
        <f t="shared" si="3"/>
        <v>7.5390482000000092E-2</v>
      </c>
    </row>
    <row r="13" spans="2:15">
      <c r="B13" s="165">
        <f t="shared" ref="B13:B21" si="4">+B12+1</f>
        <v>5</v>
      </c>
      <c r="C13" s="194" t="s">
        <v>125</v>
      </c>
      <c r="D13" s="191">
        <v>1300</v>
      </c>
      <c r="E13" s="181">
        <v>5.28E-2</v>
      </c>
      <c r="F13" s="225">
        <f>123.236829242-4.55</f>
        <v>118.686829242</v>
      </c>
      <c r="G13" s="224">
        <v>0</v>
      </c>
      <c r="H13" s="224">
        <v>0</v>
      </c>
      <c r="I13" s="187">
        <f t="shared" si="0"/>
        <v>118.686829242</v>
      </c>
      <c r="J13" s="225">
        <f>101.160814922-16.37</f>
        <v>84.790814921999996</v>
      </c>
      <c r="K13" s="223">
        <f>9.75+9.29</f>
        <v>19.04</v>
      </c>
      <c r="L13" s="187"/>
      <c r="M13" s="187">
        <f>J13+K13+L13+0.01</f>
        <v>103.84081492200001</v>
      </c>
      <c r="N13" s="189">
        <f t="shared" si="2"/>
        <v>33.896014320000006</v>
      </c>
      <c r="O13" s="189">
        <f>+I13-M13+0.01</f>
        <v>14.856014319999995</v>
      </c>
    </row>
    <row r="14" spans="2:15">
      <c r="B14" s="165">
        <f t="shared" si="4"/>
        <v>6</v>
      </c>
      <c r="C14" s="185" t="s">
        <v>405</v>
      </c>
      <c r="D14" s="191">
        <v>1400</v>
      </c>
      <c r="E14" s="181">
        <v>5.28E-2</v>
      </c>
      <c r="F14" s="223">
        <v>0.49543939999999997</v>
      </c>
      <c r="G14" s="224">
        <v>0</v>
      </c>
      <c r="H14" s="224">
        <v>0</v>
      </c>
      <c r="I14" s="187">
        <f t="shared" si="0"/>
        <v>0.49543939999999997</v>
      </c>
      <c r="J14" s="223">
        <v>0.37638200999999999</v>
      </c>
      <c r="K14" s="223">
        <v>6.9513450000000004E-2</v>
      </c>
      <c r="L14" s="187">
        <v>0</v>
      </c>
      <c r="M14" s="187">
        <f t="shared" si="1"/>
        <v>0.44589546000000002</v>
      </c>
      <c r="N14" s="189">
        <f t="shared" si="2"/>
        <v>0.11905738999999999</v>
      </c>
      <c r="O14" s="189">
        <f t="shared" si="3"/>
        <v>4.9543939999999953E-2</v>
      </c>
    </row>
    <row r="15" spans="2:15">
      <c r="B15" s="165">
        <f t="shared" si="4"/>
        <v>7</v>
      </c>
      <c r="C15" s="185" t="s">
        <v>128</v>
      </c>
      <c r="D15" s="191">
        <v>1500</v>
      </c>
      <c r="E15" s="181">
        <v>5.28E-2</v>
      </c>
      <c r="F15" s="223">
        <v>0.56308040000000004</v>
      </c>
      <c r="G15" s="224">
        <v>0</v>
      </c>
      <c r="H15" s="224">
        <v>0</v>
      </c>
      <c r="I15" s="187">
        <f t="shared" si="0"/>
        <v>0.56308040000000004</v>
      </c>
      <c r="J15" s="223">
        <v>0.49933369000000005</v>
      </c>
      <c r="K15" s="223">
        <v>7.4386699999999997E-3</v>
      </c>
      <c r="L15" s="187">
        <v>0</v>
      </c>
      <c r="M15" s="187">
        <f t="shared" si="1"/>
        <v>0.50677236000000003</v>
      </c>
      <c r="N15" s="189">
        <f t="shared" si="2"/>
        <v>6.3746709999999984E-2</v>
      </c>
      <c r="O15" s="189">
        <f t="shared" si="3"/>
        <v>5.6308040000000004E-2</v>
      </c>
    </row>
    <row r="16" spans="2:15">
      <c r="B16" s="165">
        <f t="shared" si="4"/>
        <v>8</v>
      </c>
      <c r="C16" s="185" t="s">
        <v>406</v>
      </c>
      <c r="D16" s="191">
        <v>1600</v>
      </c>
      <c r="E16" s="181">
        <v>3.3399999999999999E-2</v>
      </c>
      <c r="F16" s="223">
        <v>2.5696333999999998</v>
      </c>
      <c r="G16" s="224">
        <v>0</v>
      </c>
      <c r="H16" s="224">
        <v>0</v>
      </c>
      <c r="I16" s="187">
        <f t="shared" si="0"/>
        <v>2.5696333999999998</v>
      </c>
      <c r="J16" s="223">
        <v>2.3117711870000002</v>
      </c>
      <c r="K16" s="223">
        <v>9.0902299999999991E-4</v>
      </c>
      <c r="L16" s="187">
        <v>0</v>
      </c>
      <c r="M16" s="187">
        <f t="shared" si="1"/>
        <v>2.3126802100000003</v>
      </c>
      <c r="N16" s="189">
        <f t="shared" si="2"/>
        <v>0.25786221299999967</v>
      </c>
      <c r="O16" s="189">
        <f t="shared" si="3"/>
        <v>0.2569531899999995</v>
      </c>
    </row>
    <row r="17" spans="2:16">
      <c r="B17" s="165">
        <f t="shared" si="4"/>
        <v>9</v>
      </c>
      <c r="C17" s="185" t="s">
        <v>130</v>
      </c>
      <c r="D17" s="191">
        <v>1700</v>
      </c>
      <c r="E17" s="193">
        <v>9.5000000000000001E-2</v>
      </c>
      <c r="F17" s="223">
        <v>0.37026399999999998</v>
      </c>
      <c r="G17" s="224">
        <v>0</v>
      </c>
      <c r="H17" s="224">
        <v>0</v>
      </c>
      <c r="I17" s="187">
        <f t="shared" si="0"/>
        <v>0.37026399999999998</v>
      </c>
      <c r="J17" s="223">
        <v>0.33323760000000002</v>
      </c>
      <c r="K17" s="223">
        <v>0</v>
      </c>
      <c r="L17" s="187">
        <v>0</v>
      </c>
      <c r="M17" s="187">
        <f t="shared" si="1"/>
        <v>0.33323760000000002</v>
      </c>
      <c r="N17" s="189">
        <f t="shared" si="2"/>
        <v>3.7026399999999959E-2</v>
      </c>
      <c r="O17" s="189">
        <f t="shared" si="3"/>
        <v>3.7026399999999959E-2</v>
      </c>
    </row>
    <row r="18" spans="2:16">
      <c r="B18" s="165">
        <f t="shared" si="4"/>
        <v>10</v>
      </c>
      <c r="C18" s="185" t="s">
        <v>407</v>
      </c>
      <c r="D18" s="191">
        <v>1800</v>
      </c>
      <c r="E18" s="181">
        <v>6.3299999999999995E-2</v>
      </c>
      <c r="F18" s="223">
        <v>0.144561625</v>
      </c>
      <c r="G18" s="224">
        <v>2.4080496E-2</v>
      </c>
      <c r="H18" s="224">
        <v>0</v>
      </c>
      <c r="I18" s="187">
        <f t="shared" si="0"/>
        <v>0.16864212100000001</v>
      </c>
      <c r="J18" s="223">
        <v>0.13460119400000001</v>
      </c>
      <c r="K18" s="223">
        <v>1.380289E-3</v>
      </c>
      <c r="L18" s="187">
        <v>0</v>
      </c>
      <c r="M18" s="187">
        <f t="shared" si="1"/>
        <v>0.13598148300000001</v>
      </c>
      <c r="N18" s="189">
        <f t="shared" si="2"/>
        <v>9.9604309999999918E-3</v>
      </c>
      <c r="O18" s="189">
        <f t="shared" si="3"/>
        <v>3.2660637999999992E-2</v>
      </c>
    </row>
    <row r="19" spans="2:16">
      <c r="B19" s="165">
        <f t="shared" si="4"/>
        <v>11</v>
      </c>
      <c r="C19" s="185" t="s">
        <v>408</v>
      </c>
      <c r="D19" s="191">
        <v>1900</v>
      </c>
      <c r="E19" s="192">
        <v>0.15</v>
      </c>
      <c r="F19" s="223">
        <v>0.53314953399999998</v>
      </c>
      <c r="G19" s="224">
        <v>0</v>
      </c>
      <c r="H19" s="224">
        <v>0</v>
      </c>
      <c r="I19" s="187">
        <f t="shared" si="0"/>
        <v>0.53314953399999998</v>
      </c>
      <c r="J19" s="223">
        <v>0.41801043700000001</v>
      </c>
      <c r="K19" s="223">
        <v>3.1545887000000002E-2</v>
      </c>
      <c r="L19" s="187">
        <v>0</v>
      </c>
      <c r="M19" s="187">
        <f t="shared" si="1"/>
        <v>0.44955632400000001</v>
      </c>
      <c r="N19" s="189">
        <f t="shared" si="2"/>
        <v>0.11513909699999997</v>
      </c>
      <c r="O19" s="189">
        <f t="shared" si="3"/>
        <v>8.3593209999999973E-2</v>
      </c>
    </row>
    <row r="20" spans="2:16">
      <c r="B20" s="165">
        <f t="shared" si="4"/>
        <v>12</v>
      </c>
      <c r="C20" s="194" t="s">
        <v>132</v>
      </c>
      <c r="D20" s="190">
        <v>2100</v>
      </c>
      <c r="E20" s="188">
        <v>6.3299999999999995E-2</v>
      </c>
      <c r="F20" s="223">
        <v>0.261122454</v>
      </c>
      <c r="G20" s="224">
        <v>1.3221996E-2</v>
      </c>
      <c r="H20" s="224">
        <v>0</v>
      </c>
      <c r="I20" s="187">
        <f t="shared" si="0"/>
        <v>0.27434445000000002</v>
      </c>
      <c r="J20" s="223">
        <v>0.21215771899999999</v>
      </c>
      <c r="K20" s="223">
        <v>1.1654012E-2</v>
      </c>
      <c r="L20" s="187">
        <v>0</v>
      </c>
      <c r="M20" s="187">
        <f t="shared" si="1"/>
        <v>0.22381173099999999</v>
      </c>
      <c r="N20" s="189">
        <f t="shared" si="2"/>
        <v>4.8964735000000009E-2</v>
      </c>
      <c r="O20" s="189">
        <f t="shared" si="3"/>
        <v>5.0532719000000031E-2</v>
      </c>
    </row>
    <row r="21" spans="2:16">
      <c r="B21" s="165">
        <f t="shared" si="4"/>
        <v>13</v>
      </c>
      <c r="C21" s="194" t="s">
        <v>409</v>
      </c>
      <c r="D21" s="190">
        <v>2200</v>
      </c>
      <c r="E21" s="188">
        <v>0.15</v>
      </c>
      <c r="F21" s="223">
        <v>0.01</v>
      </c>
      <c r="G21" s="224">
        <v>0</v>
      </c>
      <c r="H21" s="224">
        <v>0</v>
      </c>
      <c r="I21" s="187">
        <f t="shared" si="0"/>
        <v>0.01</v>
      </c>
      <c r="J21" s="223">
        <v>0.01</v>
      </c>
      <c r="K21" s="223">
        <v>0</v>
      </c>
      <c r="L21" s="186"/>
      <c r="M21" s="187">
        <f t="shared" si="1"/>
        <v>0.01</v>
      </c>
      <c r="N21" s="186">
        <f t="shared" si="2"/>
        <v>0</v>
      </c>
      <c r="O21" s="186">
        <f t="shared" si="3"/>
        <v>0</v>
      </c>
    </row>
    <row r="22" spans="2:16" s="50" customFormat="1" ht="15.75" thickBot="1">
      <c r="B22" s="227"/>
      <c r="C22" s="228" t="s">
        <v>137</v>
      </c>
      <c r="D22" s="228"/>
      <c r="E22" s="229">
        <f>IFERROR((K22-L22)/AVERAGE(F22,I22),0)</f>
        <v>0.1529985833464505</v>
      </c>
      <c r="F22" s="230">
        <v>127.04</v>
      </c>
      <c r="G22" s="230">
        <v>0.04</v>
      </c>
      <c r="H22" s="230">
        <v>0</v>
      </c>
      <c r="I22" s="230">
        <v>127.08000000000001</v>
      </c>
      <c r="J22" s="231">
        <v>91.61</v>
      </c>
      <c r="K22" s="230">
        <v>19.440000000000001</v>
      </c>
      <c r="L22" s="232">
        <v>0</v>
      </c>
      <c r="M22" s="231">
        <v>111.05</v>
      </c>
      <c r="N22" s="230">
        <v>35.430000000000007</v>
      </c>
      <c r="O22" s="230">
        <v>16.030000000000015</v>
      </c>
      <c r="P22" s="226"/>
    </row>
    <row r="23" spans="2:16"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</row>
    <row r="24" spans="2:16">
      <c r="K24" s="233"/>
    </row>
  </sheetData>
  <mergeCells count="8">
    <mergeCell ref="B6:O6"/>
    <mergeCell ref="B7:B8"/>
    <mergeCell ref="C7:C8"/>
    <mergeCell ref="D7:D8"/>
    <mergeCell ref="E7:E8"/>
    <mergeCell ref="F7:I7"/>
    <mergeCell ref="J7:M7"/>
    <mergeCell ref="N7:O7"/>
  </mergeCells>
  <pageMargins left="0.27" right="0.25" top="0.5" bottom="1" header="0.25" footer="0.25"/>
  <pageSetup paperSize="9" scale="76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62"/>
  <sheetViews>
    <sheetView view="pageBreakPreview" topLeftCell="A27" zoomScale="90" zoomScaleNormal="98" zoomScaleSheetLayoutView="90" workbookViewId="0">
      <selection activeCell="D62" sqref="D62:F62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10" width="11.7109375" style="5" bestFit="1" customWidth="1"/>
    <col min="11" max="16384" width="9.28515625" style="5"/>
  </cols>
  <sheetData>
    <row r="1" spans="2:7" ht="15">
      <c r="B1" s="26"/>
    </row>
    <row r="2" spans="2:7" ht="14.25" customHeight="1">
      <c r="B2" s="273" t="s">
        <v>396</v>
      </c>
      <c r="C2" s="273"/>
      <c r="D2" s="273"/>
      <c r="E2" s="273"/>
      <c r="F2" s="273"/>
      <c r="G2" s="273"/>
    </row>
    <row r="3" spans="2:7" ht="14.25" customHeight="1">
      <c r="B3" s="273" t="s">
        <v>467</v>
      </c>
      <c r="C3" s="273"/>
      <c r="D3" s="273"/>
      <c r="E3" s="273"/>
      <c r="F3" s="273"/>
      <c r="G3" s="273"/>
    </row>
    <row r="4" spans="2:7" ht="14.25" customHeight="1">
      <c r="B4" s="273" t="s">
        <v>270</v>
      </c>
      <c r="C4" s="273"/>
      <c r="D4" s="273"/>
      <c r="E4" s="273"/>
      <c r="F4" s="273"/>
      <c r="G4" s="273"/>
    </row>
    <row r="5" spans="2:7" ht="15">
      <c r="B5" s="36" t="s">
        <v>55</v>
      </c>
      <c r="C5" s="26" t="s">
        <v>271</v>
      </c>
      <c r="D5" s="27"/>
      <c r="E5" s="27"/>
      <c r="F5" s="27"/>
      <c r="G5" s="27"/>
    </row>
    <row r="6" spans="2:7" ht="15">
      <c r="G6" s="28" t="s">
        <v>4</v>
      </c>
    </row>
    <row r="7" spans="2:7" s="15" customFormat="1" ht="15" customHeight="1">
      <c r="B7" s="257" t="s">
        <v>189</v>
      </c>
      <c r="C7" s="260" t="s">
        <v>16</v>
      </c>
      <c r="D7" s="264" t="s">
        <v>397</v>
      </c>
      <c r="E7" s="265"/>
      <c r="F7" s="266"/>
      <c r="G7" s="236"/>
    </row>
    <row r="8" spans="2:7" s="15" customFormat="1" ht="45">
      <c r="B8" s="258"/>
      <c r="C8" s="260"/>
      <c r="D8" s="17" t="s">
        <v>365</v>
      </c>
      <c r="E8" s="17" t="s">
        <v>233</v>
      </c>
      <c r="F8" s="17" t="s">
        <v>204</v>
      </c>
      <c r="G8" s="17"/>
    </row>
    <row r="9" spans="2:7" s="15" customFormat="1" ht="15">
      <c r="B9" s="259"/>
      <c r="C9" s="261"/>
      <c r="D9" s="17" t="s">
        <v>8</v>
      </c>
      <c r="E9" s="17" t="s">
        <v>10</v>
      </c>
      <c r="F9" s="17" t="s">
        <v>226</v>
      </c>
      <c r="G9" s="17"/>
    </row>
    <row r="10" spans="2:7">
      <c r="B10" s="62">
        <v>1</v>
      </c>
      <c r="C10" s="29" t="s">
        <v>172</v>
      </c>
      <c r="D10" s="2"/>
      <c r="E10" s="137">
        <f>'F4'!F22*0.7</f>
        <v>88.927999999999997</v>
      </c>
      <c r="F10" s="137">
        <f>E10</f>
        <v>88.927999999999997</v>
      </c>
      <c r="G10" s="127"/>
    </row>
    <row r="11" spans="2:7">
      <c r="B11" s="22">
        <f>B10+1</f>
        <v>2</v>
      </c>
      <c r="C11" s="29" t="s">
        <v>173</v>
      </c>
      <c r="D11" s="2"/>
      <c r="E11" s="137">
        <f>'F4'!J22</f>
        <v>91.61</v>
      </c>
      <c r="F11" s="137">
        <f>E11</f>
        <v>91.61</v>
      </c>
      <c r="G11" s="127"/>
    </row>
    <row r="12" spans="2:7" ht="15">
      <c r="B12" s="22">
        <f t="shared" ref="B12:B22" si="0">B11+1</f>
        <v>3</v>
      </c>
      <c r="C12" s="31" t="s">
        <v>174</v>
      </c>
      <c r="D12" s="132">
        <f>D10-D11</f>
        <v>0</v>
      </c>
      <c r="E12" s="132">
        <f>IF((E10-E11)&lt;0,0,(E10-E11))</f>
        <v>0</v>
      </c>
      <c r="F12" s="132">
        <f>IF((F10-F11)&lt;0,0,(F10-F11))</f>
        <v>0</v>
      </c>
      <c r="G12" s="132"/>
    </row>
    <row r="13" spans="2:7" ht="28.5">
      <c r="B13" s="22">
        <f t="shared" si="0"/>
        <v>4</v>
      </c>
      <c r="C13" s="69" t="s">
        <v>175</v>
      </c>
      <c r="D13" s="136"/>
      <c r="E13" s="136"/>
      <c r="F13" s="136"/>
      <c r="G13" s="136"/>
    </row>
    <row r="14" spans="2:7" s="35" customFormat="1" ht="28.5">
      <c r="B14" s="22">
        <f t="shared" si="0"/>
        <v>5</v>
      </c>
      <c r="C14" s="40" t="s">
        <v>393</v>
      </c>
      <c r="D14" s="136"/>
      <c r="E14" s="143">
        <f>'F3'!E12*0.7</f>
        <v>2.7999999999999997E-2</v>
      </c>
      <c r="F14" s="143">
        <f>E14</f>
        <v>2.7999999999999997E-2</v>
      </c>
      <c r="G14" s="149"/>
    </row>
    <row r="15" spans="2:7">
      <c r="B15" s="22">
        <f t="shared" si="0"/>
        <v>6</v>
      </c>
      <c r="C15" s="69" t="s">
        <v>180</v>
      </c>
      <c r="D15" s="152"/>
      <c r="E15" s="152">
        <f>'F1'!G12</f>
        <v>19.440000000000001</v>
      </c>
      <c r="F15" s="152">
        <f>'F1'!H12</f>
        <v>19.440000000000001</v>
      </c>
      <c r="G15" s="152"/>
    </row>
    <row r="16" spans="2:7" ht="15">
      <c r="B16" s="22">
        <f t="shared" si="0"/>
        <v>7</v>
      </c>
      <c r="C16" s="29" t="s">
        <v>176</v>
      </c>
      <c r="D16" s="132"/>
      <c r="E16" s="132">
        <f>IF((E12-E13+E14-E15)&lt;0,0,(E12-E13+E14-E15))</f>
        <v>0</v>
      </c>
      <c r="F16" s="132">
        <f>IF((F12-F13+F14-F15)&lt;0,0,(F12-F13+F14-F15))</f>
        <v>0</v>
      </c>
      <c r="G16" s="132"/>
    </row>
    <row r="17" spans="2:7" ht="15">
      <c r="B17" s="22">
        <f t="shared" si="0"/>
        <v>8</v>
      </c>
      <c r="C17" s="29" t="s">
        <v>177</v>
      </c>
      <c r="D17" s="132"/>
      <c r="E17" s="132">
        <f t="shared" ref="E17:F17" si="1">E10-E13+E14-E15</f>
        <v>69.516000000000005</v>
      </c>
      <c r="F17" s="132">
        <f t="shared" si="1"/>
        <v>69.516000000000005</v>
      </c>
      <c r="G17" s="132"/>
    </row>
    <row r="18" spans="2:7" ht="15">
      <c r="B18" s="22">
        <f t="shared" si="0"/>
        <v>9</v>
      </c>
      <c r="C18" s="29" t="s">
        <v>210</v>
      </c>
      <c r="D18" s="132"/>
      <c r="E18" s="132">
        <f t="shared" ref="E18:F18" si="2">AVERAGE(E12,E16)</f>
        <v>0</v>
      </c>
      <c r="F18" s="132">
        <f t="shared" si="2"/>
        <v>0</v>
      </c>
      <c r="G18" s="132"/>
    </row>
    <row r="19" spans="2:7">
      <c r="B19" s="22">
        <f t="shared" si="0"/>
        <v>10</v>
      </c>
      <c r="C19" s="69" t="s">
        <v>209</v>
      </c>
      <c r="D19" s="134"/>
      <c r="E19" s="134">
        <v>9.5500000000000002E-2</v>
      </c>
      <c r="F19" s="134">
        <f>E19</f>
        <v>9.5500000000000002E-2</v>
      </c>
      <c r="G19" s="134"/>
    </row>
    <row r="20" spans="2:7" ht="15">
      <c r="B20" s="22">
        <f t="shared" si="0"/>
        <v>11</v>
      </c>
      <c r="C20" s="29" t="s">
        <v>272</v>
      </c>
      <c r="D20" s="132">
        <f>D18*D19</f>
        <v>0</v>
      </c>
      <c r="E20" s="132">
        <f>E18*E19</f>
        <v>0</v>
      </c>
      <c r="F20" s="132">
        <f>F18*F19</f>
        <v>0</v>
      </c>
      <c r="G20" s="132"/>
    </row>
    <row r="21" spans="2:7">
      <c r="B21" s="22">
        <f t="shared" si="0"/>
        <v>12</v>
      </c>
      <c r="C21" s="29" t="s">
        <v>275</v>
      </c>
      <c r="D21" s="70"/>
      <c r="E21" s="70"/>
      <c r="F21" s="70"/>
      <c r="G21" s="70"/>
    </row>
    <row r="22" spans="2:7" ht="15">
      <c r="B22" s="22">
        <f t="shared" si="0"/>
        <v>13</v>
      </c>
      <c r="C22" s="29" t="s">
        <v>276</v>
      </c>
      <c r="D22" s="132">
        <v>0</v>
      </c>
      <c r="E22" s="132">
        <f>IF((E20+E21)&lt;0,0,(E20+E21))</f>
        <v>0</v>
      </c>
      <c r="F22" s="132">
        <f>IF((F20+F21)&lt;0,0,(F20+F21))</f>
        <v>0</v>
      </c>
      <c r="G22" s="132"/>
    </row>
    <row r="23" spans="2:7">
      <c r="B23" s="37"/>
    </row>
    <row r="24" spans="2:7">
      <c r="B24" s="37"/>
      <c r="C24" s="5" t="s">
        <v>235</v>
      </c>
    </row>
    <row r="25" spans="2:7">
      <c r="C25" s="5" t="s">
        <v>394</v>
      </c>
    </row>
    <row r="27" spans="2:7" ht="15">
      <c r="B27" s="36" t="s">
        <v>60</v>
      </c>
      <c r="C27" s="26" t="s">
        <v>273</v>
      </c>
    </row>
    <row r="28" spans="2:7" ht="15">
      <c r="F28" s="238" t="s">
        <v>474</v>
      </c>
    </row>
    <row r="29" spans="2:7" ht="15" customHeight="1">
      <c r="B29" s="257" t="s">
        <v>189</v>
      </c>
      <c r="C29" s="260" t="s">
        <v>16</v>
      </c>
      <c r="D29" s="264" t="s">
        <v>397</v>
      </c>
      <c r="E29" s="265"/>
      <c r="F29" s="266"/>
    </row>
    <row r="30" spans="2:7" ht="15">
      <c r="B30" s="258"/>
      <c r="C30" s="260"/>
      <c r="D30" s="264" t="s">
        <v>233</v>
      </c>
      <c r="E30" s="265"/>
      <c r="F30" s="266"/>
    </row>
    <row r="31" spans="2:7" ht="15">
      <c r="B31" s="259"/>
      <c r="C31" s="261"/>
      <c r="D31" s="264" t="s">
        <v>10</v>
      </c>
      <c r="E31" s="265"/>
      <c r="F31" s="266"/>
    </row>
    <row r="32" spans="2:7" ht="15">
      <c r="B32" s="22">
        <v>1</v>
      </c>
      <c r="C32" s="42" t="s">
        <v>188</v>
      </c>
      <c r="D32" s="300"/>
      <c r="E32" s="301"/>
      <c r="F32" s="302"/>
    </row>
    <row r="33" spans="2:6">
      <c r="B33" s="29"/>
      <c r="C33" s="29" t="s">
        <v>11</v>
      </c>
      <c r="D33" s="300"/>
      <c r="E33" s="301"/>
      <c r="F33" s="302"/>
    </row>
    <row r="34" spans="2:6">
      <c r="B34" s="29"/>
      <c r="C34" s="29" t="s">
        <v>164</v>
      </c>
      <c r="D34" s="300"/>
      <c r="E34" s="301"/>
      <c r="F34" s="302"/>
    </row>
    <row r="35" spans="2:6">
      <c r="B35" s="29"/>
      <c r="C35" s="29" t="s">
        <v>12</v>
      </c>
      <c r="D35" s="300"/>
      <c r="E35" s="301"/>
      <c r="F35" s="302"/>
    </row>
    <row r="36" spans="2:6" ht="15">
      <c r="B36" s="29"/>
      <c r="C36" s="29" t="s">
        <v>13</v>
      </c>
      <c r="D36" s="288">
        <f>D33+D34-D35</f>
        <v>0</v>
      </c>
      <c r="E36" s="289"/>
      <c r="F36" s="290"/>
    </row>
    <row r="37" spans="2:6" ht="15">
      <c r="B37" s="29"/>
      <c r="C37" s="29" t="s">
        <v>211</v>
      </c>
      <c r="D37" s="288">
        <f>AVERAGE(D33,D36)</f>
        <v>0</v>
      </c>
      <c r="E37" s="289"/>
      <c r="F37" s="290"/>
    </row>
    <row r="38" spans="2:6">
      <c r="B38" s="29"/>
      <c r="C38" s="29" t="s">
        <v>14</v>
      </c>
      <c r="D38" s="297"/>
      <c r="E38" s="298"/>
      <c r="F38" s="299"/>
    </row>
    <row r="39" spans="2:6" ht="15">
      <c r="B39" s="29"/>
      <c r="C39" s="29" t="s">
        <v>272</v>
      </c>
      <c r="D39" s="288">
        <f>D37*D38</f>
        <v>0</v>
      </c>
      <c r="E39" s="289"/>
      <c r="F39" s="290"/>
    </row>
    <row r="40" spans="2:6">
      <c r="B40" s="29"/>
      <c r="C40" s="29" t="s">
        <v>275</v>
      </c>
      <c r="D40" s="294"/>
      <c r="E40" s="295"/>
      <c r="F40" s="296"/>
    </row>
    <row r="41" spans="2:6" ht="15">
      <c r="B41" s="29"/>
      <c r="C41" s="29" t="s">
        <v>276</v>
      </c>
      <c r="D41" s="288">
        <f>D39+D40</f>
        <v>0</v>
      </c>
      <c r="E41" s="289"/>
      <c r="F41" s="290"/>
    </row>
    <row r="42" spans="2:6" ht="15">
      <c r="B42" s="22">
        <v>2</v>
      </c>
      <c r="C42" s="42" t="s">
        <v>187</v>
      </c>
      <c r="D42" s="294"/>
      <c r="E42" s="295"/>
      <c r="F42" s="296"/>
    </row>
    <row r="43" spans="2:6">
      <c r="B43" s="29"/>
      <c r="C43" s="29" t="s">
        <v>11</v>
      </c>
      <c r="D43" s="294"/>
      <c r="E43" s="295"/>
      <c r="F43" s="296"/>
    </row>
    <row r="44" spans="2:6">
      <c r="B44" s="29"/>
      <c r="C44" s="29" t="s">
        <v>164</v>
      </c>
      <c r="D44" s="294"/>
      <c r="E44" s="295"/>
      <c r="F44" s="296"/>
    </row>
    <row r="45" spans="2:6">
      <c r="B45" s="29"/>
      <c r="C45" s="29" t="s">
        <v>12</v>
      </c>
      <c r="D45" s="294"/>
      <c r="E45" s="295"/>
      <c r="F45" s="296"/>
    </row>
    <row r="46" spans="2:6" ht="15">
      <c r="B46" s="29"/>
      <c r="C46" s="29" t="s">
        <v>13</v>
      </c>
      <c r="D46" s="288">
        <f>D43+D44-D45</f>
        <v>0</v>
      </c>
      <c r="E46" s="289"/>
      <c r="F46" s="290"/>
    </row>
    <row r="47" spans="2:6" ht="15">
      <c r="B47" s="29"/>
      <c r="C47" s="29" t="s">
        <v>211</v>
      </c>
      <c r="D47" s="288">
        <f>AVERAGE(D43,D46)</f>
        <v>0</v>
      </c>
      <c r="E47" s="289"/>
      <c r="F47" s="290"/>
    </row>
    <row r="48" spans="2:6">
      <c r="B48" s="29"/>
      <c r="C48" s="29" t="s">
        <v>14</v>
      </c>
      <c r="D48" s="297"/>
      <c r="E48" s="298"/>
      <c r="F48" s="299"/>
    </row>
    <row r="49" spans="2:6" ht="15">
      <c r="B49" s="29"/>
      <c r="C49" s="29" t="s">
        <v>272</v>
      </c>
      <c r="D49" s="288">
        <f>D47*D48</f>
        <v>0</v>
      </c>
      <c r="E49" s="289"/>
      <c r="F49" s="290"/>
    </row>
    <row r="50" spans="2:6">
      <c r="B50" s="29"/>
      <c r="C50" s="29" t="s">
        <v>275</v>
      </c>
      <c r="D50" s="294"/>
      <c r="E50" s="295"/>
      <c r="F50" s="296"/>
    </row>
    <row r="51" spans="2:6" ht="15">
      <c r="B51" s="29"/>
      <c r="C51" s="29" t="s">
        <v>276</v>
      </c>
      <c r="D51" s="288">
        <f>D49+D50</f>
        <v>0</v>
      </c>
      <c r="E51" s="289"/>
      <c r="F51" s="290"/>
    </row>
    <row r="52" spans="2:6">
      <c r="B52" s="29"/>
      <c r="C52" s="29" t="s">
        <v>274</v>
      </c>
      <c r="D52" s="294"/>
      <c r="E52" s="295"/>
      <c r="F52" s="296"/>
    </row>
    <row r="53" spans="2:6" ht="15">
      <c r="B53" s="22"/>
      <c r="C53" s="42" t="s">
        <v>137</v>
      </c>
      <c r="D53" s="294"/>
      <c r="E53" s="295"/>
      <c r="F53" s="296"/>
    </row>
    <row r="54" spans="2:6" ht="15">
      <c r="B54" s="29"/>
      <c r="C54" s="29" t="s">
        <v>11</v>
      </c>
      <c r="D54" s="288">
        <f>D33+D43</f>
        <v>0</v>
      </c>
      <c r="E54" s="289"/>
      <c r="F54" s="290"/>
    </row>
    <row r="55" spans="2:6" ht="15">
      <c r="B55" s="29"/>
      <c r="C55" s="29" t="s">
        <v>164</v>
      </c>
      <c r="D55" s="288">
        <f>D34+D44</f>
        <v>0</v>
      </c>
      <c r="E55" s="289"/>
      <c r="F55" s="290"/>
    </row>
    <row r="56" spans="2:6" ht="15">
      <c r="B56" s="29"/>
      <c r="C56" s="29" t="s">
        <v>12</v>
      </c>
      <c r="D56" s="288">
        <f>D35+D45</f>
        <v>0</v>
      </c>
      <c r="E56" s="289"/>
      <c r="F56" s="290"/>
    </row>
    <row r="57" spans="2:6" ht="15">
      <c r="B57" s="29"/>
      <c r="C57" s="29" t="s">
        <v>13</v>
      </c>
      <c r="D57" s="288">
        <f>D54+D55-D56</f>
        <v>0</v>
      </c>
      <c r="E57" s="289"/>
      <c r="F57" s="290"/>
    </row>
    <row r="58" spans="2:6" ht="15">
      <c r="B58" s="29"/>
      <c r="C58" s="29" t="s">
        <v>211</v>
      </c>
      <c r="D58" s="288">
        <f>AVERAGE(D54,D57)</f>
        <v>0</v>
      </c>
      <c r="E58" s="289"/>
      <c r="F58" s="290"/>
    </row>
    <row r="59" spans="2:6" ht="15">
      <c r="B59" s="29"/>
      <c r="C59" s="29" t="s">
        <v>14</v>
      </c>
      <c r="D59" s="291">
        <f>IFERROR(D60/D58,0)</f>
        <v>0</v>
      </c>
      <c r="E59" s="292"/>
      <c r="F59" s="293"/>
    </row>
    <row r="60" spans="2:6" ht="15">
      <c r="B60" s="29"/>
      <c r="C60" s="29" t="s">
        <v>272</v>
      </c>
      <c r="D60" s="288">
        <f t="shared" ref="D60:D61" si="3">D39+D49</f>
        <v>0</v>
      </c>
      <c r="E60" s="289"/>
      <c r="F60" s="290"/>
    </row>
    <row r="61" spans="2:6" ht="15">
      <c r="B61" s="29"/>
      <c r="C61" s="29" t="s">
        <v>275</v>
      </c>
      <c r="D61" s="288">
        <f t="shared" si="3"/>
        <v>0</v>
      </c>
      <c r="E61" s="289"/>
      <c r="F61" s="290"/>
    </row>
    <row r="62" spans="2:6" ht="15">
      <c r="B62" s="29"/>
      <c r="C62" s="29" t="s">
        <v>276</v>
      </c>
      <c r="D62" s="288">
        <f>D60+D61</f>
        <v>0</v>
      </c>
      <c r="E62" s="289"/>
      <c r="F62" s="290"/>
    </row>
  </sheetData>
  <mergeCells count="42">
    <mergeCell ref="B2:G2"/>
    <mergeCell ref="B3:G3"/>
    <mergeCell ref="B4:G4"/>
    <mergeCell ref="B29:B31"/>
    <mergeCell ref="C29:C31"/>
    <mergeCell ref="B7:B9"/>
    <mergeCell ref="C7:C9"/>
    <mergeCell ref="D7:F7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62:F62"/>
    <mergeCell ref="D57:F57"/>
    <mergeCell ref="D58:F58"/>
    <mergeCell ref="D59:F59"/>
    <mergeCell ref="D60:F60"/>
    <mergeCell ref="D61:F61"/>
  </mergeCells>
  <pageMargins left="0.27" right="0" top="0.25" bottom="0.25" header="0.25" footer="0.25"/>
  <pageSetup paperSize="9" fitToHeight="0" orientation="landscape" r:id="rId1"/>
  <headerFooter alignWithMargins="0"/>
  <rowBreaks count="1" manualBreakCount="1">
    <brk id="2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3"/>
  <sheetViews>
    <sheetView showGridLines="0" view="pageBreakPreview" zoomScaleNormal="95" zoomScaleSheetLayoutView="100" workbookViewId="0">
      <selection activeCell="H10" sqref="H10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4.42578125" style="5" bestFit="1" customWidth="1"/>
    <col min="8" max="10" width="11.7109375" style="5" bestFit="1" customWidth="1"/>
    <col min="11" max="16384" width="9.28515625" style="5"/>
  </cols>
  <sheetData>
    <row r="1" spans="2:7" ht="15">
      <c r="B1" s="26"/>
    </row>
    <row r="2" spans="2:7" ht="14.25" customHeight="1">
      <c r="B2" s="273" t="s">
        <v>396</v>
      </c>
      <c r="C2" s="273"/>
      <c r="D2" s="273"/>
      <c r="E2" s="273"/>
      <c r="F2" s="273"/>
      <c r="G2" s="273"/>
    </row>
    <row r="3" spans="2:7" ht="14.25" customHeight="1">
      <c r="B3" s="273" t="s">
        <v>467</v>
      </c>
      <c r="C3" s="273"/>
      <c r="D3" s="273"/>
      <c r="E3" s="273"/>
      <c r="F3" s="273"/>
      <c r="G3" s="273"/>
    </row>
    <row r="4" spans="2:7" ht="14.25" customHeight="1">
      <c r="B4" s="273" t="s">
        <v>277</v>
      </c>
      <c r="C4" s="273"/>
      <c r="D4" s="273"/>
      <c r="E4" s="273"/>
      <c r="F4" s="273"/>
      <c r="G4" s="273"/>
    </row>
    <row r="5" spans="2:7" ht="15">
      <c r="B5" s="36"/>
      <c r="C5" s="26"/>
      <c r="D5" s="27"/>
      <c r="E5" s="27"/>
      <c r="F5" s="27"/>
      <c r="G5" s="27"/>
    </row>
    <row r="6" spans="2:7" ht="15">
      <c r="G6" s="28" t="s">
        <v>4</v>
      </c>
    </row>
    <row r="7" spans="2:7" s="15" customFormat="1" ht="15" customHeight="1">
      <c r="B7" s="257" t="s">
        <v>189</v>
      </c>
      <c r="C7" s="260" t="s">
        <v>16</v>
      </c>
      <c r="D7" s="264" t="s">
        <v>397</v>
      </c>
      <c r="E7" s="265"/>
      <c r="F7" s="266"/>
      <c r="G7" s="68"/>
    </row>
    <row r="8" spans="2:7" s="15" customFormat="1" ht="45">
      <c r="B8" s="258"/>
      <c r="C8" s="260"/>
      <c r="D8" s="17" t="s">
        <v>365</v>
      </c>
      <c r="E8" s="17" t="s">
        <v>233</v>
      </c>
      <c r="F8" s="17" t="s">
        <v>204</v>
      </c>
      <c r="G8" s="17"/>
    </row>
    <row r="9" spans="2:7" s="15" customFormat="1" ht="15">
      <c r="B9" s="259"/>
      <c r="C9" s="261"/>
      <c r="D9" s="17" t="s">
        <v>8</v>
      </c>
      <c r="E9" s="17" t="s">
        <v>10</v>
      </c>
      <c r="F9" s="17" t="s">
        <v>226</v>
      </c>
      <c r="G9" s="17"/>
    </row>
    <row r="10" spans="2:7">
      <c r="B10" s="62">
        <v>1</v>
      </c>
      <c r="C10" s="29" t="s">
        <v>278</v>
      </c>
      <c r="D10" s="2"/>
      <c r="E10" s="137">
        <f>'F12'!F17*'F10'!F23*30/366/10</f>
        <v>9.2953668273168653</v>
      </c>
      <c r="F10" s="143">
        <f>E10</f>
        <v>9.2953668273168653</v>
      </c>
      <c r="G10" s="149"/>
    </row>
    <row r="11" spans="2:7">
      <c r="B11" s="22">
        <f>B10+1</f>
        <v>2</v>
      </c>
      <c r="C11" s="29" t="s">
        <v>279</v>
      </c>
      <c r="D11" s="2"/>
      <c r="E11" s="137">
        <f>E10</f>
        <v>9.2953668273168653</v>
      </c>
      <c r="F11" s="143">
        <f>E11</f>
        <v>9.2953668273168653</v>
      </c>
      <c r="G11" s="149"/>
    </row>
    <row r="12" spans="2:7">
      <c r="B12" s="22">
        <f t="shared" ref="B12:B20" si="0">B11+1</f>
        <v>3</v>
      </c>
      <c r="C12" s="31" t="s">
        <v>280</v>
      </c>
      <c r="D12" s="2"/>
      <c r="E12" s="137">
        <f>'F10'!F23*'F12'!F18*2/12/10</f>
        <v>1.5344370578171131</v>
      </c>
      <c r="F12" s="143">
        <f>E12</f>
        <v>1.5344370578171131</v>
      </c>
      <c r="G12" s="149"/>
    </row>
    <row r="13" spans="2:7">
      <c r="B13" s="22">
        <f t="shared" si="0"/>
        <v>4</v>
      </c>
      <c r="C13" s="69" t="s">
        <v>281</v>
      </c>
      <c r="D13" s="136"/>
      <c r="E13" s="136">
        <f>'F2'!F14/12</f>
        <v>8.3550000000000004</v>
      </c>
      <c r="F13" s="136">
        <f>'F2'!G14/12</f>
        <v>8.3550000000000004</v>
      </c>
      <c r="G13" s="158"/>
    </row>
    <row r="14" spans="2:7" s="35" customFormat="1" ht="15">
      <c r="B14" s="22">
        <f t="shared" si="0"/>
        <v>5</v>
      </c>
      <c r="C14" s="40" t="s">
        <v>282</v>
      </c>
      <c r="D14" s="70"/>
      <c r="E14" s="143">
        <f>'F1'!G11*20%</f>
        <v>20.052000000000003</v>
      </c>
      <c r="F14" s="143">
        <f>'F1'!H11*20%</f>
        <v>20.052000000000003</v>
      </c>
      <c r="G14" s="143"/>
    </row>
    <row r="15" spans="2:7">
      <c r="B15" s="22">
        <f t="shared" si="0"/>
        <v>6</v>
      </c>
      <c r="C15" s="69" t="s">
        <v>391</v>
      </c>
      <c r="D15" s="136"/>
      <c r="E15" s="136">
        <f ca="1">'F1'!G22*2/12</f>
        <v>42.78168294002807</v>
      </c>
      <c r="F15" s="136">
        <f ca="1">'F1'!H22*2/12</f>
        <v>42.78168294002807</v>
      </c>
      <c r="G15" s="158"/>
    </row>
    <row r="16" spans="2:7">
      <c r="B16" s="22"/>
      <c r="C16" s="69" t="s">
        <v>283</v>
      </c>
      <c r="D16" s="70"/>
      <c r="E16" s="31"/>
      <c r="F16" s="3"/>
      <c r="G16" s="31"/>
    </row>
    <row r="17" spans="2:7">
      <c r="B17" s="22">
        <f>B15+1</f>
        <v>7</v>
      </c>
      <c r="C17" s="29" t="s">
        <v>392</v>
      </c>
      <c r="D17" s="136"/>
      <c r="E17" s="136">
        <f>'F10'!F23*'F12'!F19*30/366/10</f>
        <v>10.050008003292493</v>
      </c>
      <c r="F17" s="136">
        <f>E17</f>
        <v>10.050008003292493</v>
      </c>
      <c r="G17" s="136"/>
    </row>
    <row r="18" spans="2:7" ht="15">
      <c r="B18" s="22">
        <f t="shared" si="0"/>
        <v>8</v>
      </c>
      <c r="C18" s="29" t="s">
        <v>53</v>
      </c>
      <c r="D18" s="132"/>
      <c r="E18" s="132">
        <f t="shared" ref="E18:F18" ca="1" si="1">SUM(E10:E15)-E17</f>
        <v>81.263845649186422</v>
      </c>
      <c r="F18" s="132">
        <f t="shared" ca="1" si="1"/>
        <v>81.263845649186422</v>
      </c>
      <c r="G18" s="132"/>
    </row>
    <row r="19" spans="2:7">
      <c r="B19" s="22">
        <f t="shared" si="0"/>
        <v>9</v>
      </c>
      <c r="C19" s="29" t="s">
        <v>284</v>
      </c>
      <c r="D19" s="134"/>
      <c r="E19" s="134">
        <v>0.1008</v>
      </c>
      <c r="F19" s="134">
        <v>0.1008</v>
      </c>
      <c r="G19" s="134"/>
    </row>
    <row r="20" spans="2:7" ht="15">
      <c r="B20" s="22">
        <f t="shared" si="0"/>
        <v>10</v>
      </c>
      <c r="C20" s="69" t="s">
        <v>285</v>
      </c>
      <c r="D20" s="132">
        <v>6.79</v>
      </c>
      <c r="E20" s="132">
        <f ca="1">ROUND(E18*E19,2)</f>
        <v>8.19</v>
      </c>
      <c r="F20" s="132">
        <f ca="1">ROUND(F18*F19,2)</f>
        <v>8.19</v>
      </c>
      <c r="G20" s="132"/>
    </row>
    <row r="21" spans="2:7">
      <c r="D21" s="166"/>
    </row>
    <row r="22" spans="2:7">
      <c r="C22" s="5" t="s">
        <v>235</v>
      </c>
    </row>
    <row r="23" spans="2:7" ht="31.5" customHeight="1">
      <c r="B23" s="303" t="s">
        <v>471</v>
      </c>
      <c r="C23" s="303"/>
      <c r="D23" s="303"/>
      <c r="E23" s="303"/>
      <c r="F23" s="303"/>
      <c r="G23" s="303"/>
    </row>
  </sheetData>
  <mergeCells count="7">
    <mergeCell ref="B2:G2"/>
    <mergeCell ref="B23:G23"/>
    <mergeCell ref="B7:B9"/>
    <mergeCell ref="C7:C9"/>
    <mergeCell ref="D7:F7"/>
    <mergeCell ref="B4:G4"/>
    <mergeCell ref="B3:G3"/>
  </mergeCells>
  <pageMargins left="1.02" right="0.25" top="1" bottom="1" header="0.25" footer="0.2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4"/>
  <sheetViews>
    <sheetView showGridLines="0" view="pageBreakPreview" zoomScaleNormal="96" zoomScaleSheetLayoutView="100" workbookViewId="0">
      <selection activeCell="H10" sqref="H10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>
      <c r="B1" s="26"/>
    </row>
    <row r="2" spans="2:6" ht="14.25" customHeight="1">
      <c r="B2" s="273" t="s">
        <v>396</v>
      </c>
      <c r="C2" s="273"/>
      <c r="D2" s="273"/>
      <c r="E2" s="273"/>
      <c r="F2" s="273"/>
    </row>
    <row r="3" spans="2:6" ht="14.25" customHeight="1">
      <c r="B3" s="273" t="s">
        <v>467</v>
      </c>
      <c r="C3" s="273"/>
      <c r="D3" s="273"/>
      <c r="E3" s="273"/>
      <c r="F3" s="273"/>
    </row>
    <row r="4" spans="2:6" ht="14.25" customHeight="1">
      <c r="B4" s="273" t="s">
        <v>286</v>
      </c>
      <c r="C4" s="273"/>
      <c r="D4" s="273"/>
      <c r="E4" s="273"/>
      <c r="F4" s="273"/>
    </row>
    <row r="5" spans="2:6" ht="15">
      <c r="B5" s="36"/>
      <c r="C5" s="26"/>
      <c r="D5" s="27"/>
      <c r="E5" s="27"/>
      <c r="F5" s="27"/>
    </row>
    <row r="6" spans="2:6" ht="15">
      <c r="F6" s="237" t="s">
        <v>472</v>
      </c>
    </row>
    <row r="7" spans="2:6" s="15" customFormat="1" ht="15" customHeight="1">
      <c r="B7" s="257" t="s">
        <v>189</v>
      </c>
      <c r="C7" s="260" t="s">
        <v>16</v>
      </c>
      <c r="D7" s="264" t="s">
        <v>397</v>
      </c>
      <c r="E7" s="265"/>
      <c r="F7" s="266"/>
    </row>
    <row r="8" spans="2:6" s="15" customFormat="1" ht="45">
      <c r="B8" s="258"/>
      <c r="C8" s="260"/>
      <c r="D8" s="17" t="s">
        <v>365</v>
      </c>
      <c r="E8" s="17" t="s">
        <v>233</v>
      </c>
      <c r="F8" s="17" t="s">
        <v>204</v>
      </c>
    </row>
    <row r="9" spans="2:6" s="15" customFormat="1" ht="15">
      <c r="B9" s="259"/>
      <c r="C9" s="261"/>
      <c r="D9" s="17" t="s">
        <v>8</v>
      </c>
      <c r="E9" s="17" t="s">
        <v>10</v>
      </c>
      <c r="F9" s="17" t="s">
        <v>226</v>
      </c>
    </row>
    <row r="10" spans="2:6">
      <c r="B10" s="62">
        <v>1</v>
      </c>
      <c r="C10" s="29" t="s">
        <v>220</v>
      </c>
      <c r="D10" s="146"/>
      <c r="E10" s="43">
        <f>'F4'!F22*0.3</f>
        <v>38.112000000000002</v>
      </c>
      <c r="F10" s="43">
        <f>E10</f>
        <v>38.112000000000002</v>
      </c>
    </row>
    <row r="11" spans="2:6">
      <c r="B11" s="22">
        <f>B10+1</f>
        <v>2</v>
      </c>
      <c r="C11" s="29" t="s">
        <v>221</v>
      </c>
      <c r="D11" s="146"/>
      <c r="E11" s="143">
        <f>F3.1!H12</f>
        <v>0.04</v>
      </c>
      <c r="F11" s="143">
        <f>E11</f>
        <v>0.04</v>
      </c>
    </row>
    <row r="12" spans="2:6">
      <c r="B12" s="22">
        <f t="shared" ref="B12:B22" si="0">B11+1</f>
        <v>3</v>
      </c>
      <c r="C12" s="31" t="s">
        <v>17</v>
      </c>
      <c r="D12" s="148">
        <f>D11*25%</f>
        <v>0</v>
      </c>
      <c r="E12" s="148">
        <f>E11*30%</f>
        <v>1.2E-2</v>
      </c>
      <c r="F12" s="148">
        <f>E12</f>
        <v>1.2E-2</v>
      </c>
    </row>
    <row r="13" spans="2:6" ht="28.5">
      <c r="B13" s="22">
        <f t="shared" si="0"/>
        <v>4</v>
      </c>
      <c r="C13" s="69" t="s">
        <v>18</v>
      </c>
      <c r="D13" s="150"/>
      <c r="E13" s="43"/>
      <c r="F13" s="146"/>
    </row>
    <row r="14" spans="2:6" s="35" customFormat="1" ht="15">
      <c r="B14" s="22">
        <f t="shared" si="0"/>
        <v>5</v>
      </c>
      <c r="C14" s="40" t="s">
        <v>19</v>
      </c>
      <c r="D14" s="151">
        <f>D10+D12-D13</f>
        <v>0</v>
      </c>
      <c r="E14" s="151">
        <f t="shared" ref="E14" si="1">E10+E12-E13</f>
        <v>38.124000000000002</v>
      </c>
      <c r="F14" s="151">
        <f>F10+F12-F13</f>
        <v>38.124000000000002</v>
      </c>
    </row>
    <row r="15" spans="2:6" s="35" customFormat="1" ht="15">
      <c r="B15" s="22"/>
      <c r="C15" s="71" t="s">
        <v>287</v>
      </c>
      <c r="D15" s="70"/>
      <c r="E15" s="31"/>
      <c r="F15" s="3"/>
    </row>
    <row r="16" spans="2:6" s="35" customFormat="1" ht="15">
      <c r="B16" s="22">
        <f>B14+1</f>
        <v>6</v>
      </c>
      <c r="C16" s="40" t="s">
        <v>288</v>
      </c>
      <c r="D16" s="133">
        <v>0.155</v>
      </c>
      <c r="E16" s="133">
        <v>0.155</v>
      </c>
      <c r="F16" s="133">
        <v>0.155</v>
      </c>
    </row>
    <row r="17" spans="2:6" s="35" customFormat="1" ht="15">
      <c r="B17" s="22">
        <f>B16+1</f>
        <v>7</v>
      </c>
      <c r="C17" s="40" t="s">
        <v>289</v>
      </c>
      <c r="D17" s="134">
        <v>0.17782000000000001</v>
      </c>
      <c r="E17" s="134">
        <v>0.25168000000000001</v>
      </c>
      <c r="F17" s="134">
        <v>0.25168000000000001</v>
      </c>
    </row>
    <row r="18" spans="2:6" s="35" customFormat="1" ht="15">
      <c r="B18" s="22">
        <f>B17+1</f>
        <v>8</v>
      </c>
      <c r="C18" s="32" t="s">
        <v>287</v>
      </c>
      <c r="D18" s="135">
        <f>D16/(1-D17)</f>
        <v>0.18852319443430879</v>
      </c>
      <c r="E18" s="135">
        <f t="shared" ref="E18:F18" si="2">E16/(1-E17)</f>
        <v>0.20713063929869574</v>
      </c>
      <c r="F18" s="135">
        <f t="shared" si="2"/>
        <v>0.20713063929869574</v>
      </c>
    </row>
    <row r="19" spans="2:6" ht="15">
      <c r="B19" s="22"/>
      <c r="C19" s="71" t="s">
        <v>178</v>
      </c>
      <c r="D19" s="131"/>
      <c r="E19" s="31"/>
      <c r="F19" s="3"/>
    </row>
    <row r="20" spans="2:6" ht="17.25" customHeight="1">
      <c r="B20" s="22">
        <f>B18+1</f>
        <v>9</v>
      </c>
      <c r="C20" s="69" t="s">
        <v>222</v>
      </c>
      <c r="D20" s="132">
        <f>D10*D18</f>
        <v>0</v>
      </c>
      <c r="E20" s="132">
        <f t="shared" ref="E20:F20" si="3">E10*E18</f>
        <v>7.8941629249518925</v>
      </c>
      <c r="F20" s="132">
        <f t="shared" si="3"/>
        <v>7.8941629249518925</v>
      </c>
    </row>
    <row r="21" spans="2:6" ht="18.75" customHeight="1">
      <c r="B21" s="22">
        <f t="shared" si="0"/>
        <v>10</v>
      </c>
      <c r="C21" s="69" t="s">
        <v>223</v>
      </c>
      <c r="D21" s="132">
        <f>AVERAGE(D10,D14)*D18-D20</f>
        <v>0</v>
      </c>
      <c r="E21" s="132">
        <f t="shared" ref="E21:F21" si="4">AVERAGE(E10,E14)*E18-E20</f>
        <v>1.2427838357922383E-3</v>
      </c>
      <c r="F21" s="132">
        <f t="shared" si="4"/>
        <v>1.2427838357922383E-3</v>
      </c>
    </row>
    <row r="22" spans="2:6" ht="15">
      <c r="B22" s="22">
        <f t="shared" si="0"/>
        <v>11</v>
      </c>
      <c r="C22" s="42" t="s">
        <v>179</v>
      </c>
      <c r="D22" s="132">
        <v>7.16</v>
      </c>
      <c r="E22" s="132">
        <f>ROUND((E20+E21),2)</f>
        <v>7.9</v>
      </c>
      <c r="F22" s="132">
        <f>ROUND((F20+F21),2)</f>
        <v>7.9</v>
      </c>
    </row>
    <row r="23" spans="2:6">
      <c r="C23" s="5" t="s">
        <v>235</v>
      </c>
    </row>
    <row r="24" spans="2:6">
      <c r="C24" s="5" t="s">
        <v>394</v>
      </c>
    </row>
  </sheetData>
  <mergeCells count="6">
    <mergeCell ref="B2:F2"/>
    <mergeCell ref="B7:B9"/>
    <mergeCell ref="C7:C9"/>
    <mergeCell ref="D7:F7"/>
    <mergeCell ref="B4:F4"/>
    <mergeCell ref="B3:F3"/>
  </mergeCells>
  <pageMargins left="1.02" right="0.25" top="0.5" bottom="1" header="0.25" footer="0.2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34"/>
  <sheetViews>
    <sheetView showGridLines="0" view="pageBreakPreview" topLeftCell="B1" zoomScale="90" zoomScaleNormal="112" zoomScaleSheetLayoutView="90" workbookViewId="0">
      <selection activeCell="H10" sqref="H10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28515625" style="5" customWidth="1"/>
    <col min="4" max="5" width="11.28515625" style="5" customWidth="1"/>
    <col min="6" max="6" width="13.7109375" style="5" customWidth="1"/>
    <col min="7" max="9" width="11.7109375" style="5" bestFit="1" customWidth="1"/>
    <col min="10" max="16384" width="9.28515625" style="5"/>
  </cols>
  <sheetData>
    <row r="1" spans="2:6" ht="15">
      <c r="B1" s="26"/>
    </row>
    <row r="3" spans="2:6" ht="14.25" customHeight="1">
      <c r="B3" s="273" t="s">
        <v>396</v>
      </c>
      <c r="C3" s="273"/>
      <c r="D3" s="273"/>
      <c r="E3" s="273"/>
      <c r="F3" s="273"/>
    </row>
    <row r="4" spans="2:6" ht="14.25" customHeight="1">
      <c r="B4" s="273" t="s">
        <v>467</v>
      </c>
      <c r="C4" s="273"/>
      <c r="D4" s="273"/>
      <c r="E4" s="273"/>
      <c r="F4" s="273"/>
    </row>
    <row r="5" spans="2:6" ht="15">
      <c r="B5" s="273" t="s">
        <v>290</v>
      </c>
      <c r="C5" s="273"/>
      <c r="D5" s="273"/>
      <c r="E5" s="273"/>
      <c r="F5" s="273"/>
    </row>
    <row r="6" spans="2:6" ht="15">
      <c r="F6" s="237" t="s">
        <v>472</v>
      </c>
    </row>
    <row r="7" spans="2:6" s="15" customFormat="1" ht="15" customHeight="1">
      <c r="B7" s="257" t="s">
        <v>189</v>
      </c>
      <c r="C7" s="260" t="s">
        <v>16</v>
      </c>
      <c r="D7" s="264" t="s">
        <v>397</v>
      </c>
      <c r="E7" s="265"/>
      <c r="F7" s="266"/>
    </row>
    <row r="8" spans="2:6" s="15" customFormat="1" ht="30">
      <c r="B8" s="258"/>
      <c r="C8" s="260"/>
      <c r="D8" s="17" t="s">
        <v>365</v>
      </c>
      <c r="E8" s="17" t="s">
        <v>233</v>
      </c>
      <c r="F8" s="17" t="s">
        <v>204</v>
      </c>
    </row>
    <row r="9" spans="2:6" s="15" customFormat="1" ht="15">
      <c r="B9" s="259"/>
      <c r="C9" s="261"/>
      <c r="D9" s="17" t="s">
        <v>8</v>
      </c>
      <c r="E9" s="17" t="s">
        <v>10</v>
      </c>
      <c r="F9" s="17" t="s">
        <v>226</v>
      </c>
    </row>
    <row r="10" spans="2:6" s="15" customFormat="1">
      <c r="B10" s="62">
        <v>1</v>
      </c>
      <c r="C10" s="167" t="s">
        <v>411</v>
      </c>
      <c r="D10" s="168"/>
      <c r="E10" s="169">
        <v>0.41637859570428021</v>
      </c>
      <c r="F10" s="169">
        <v>0.41637859570428021</v>
      </c>
    </row>
    <row r="11" spans="2:6" s="15" customFormat="1">
      <c r="B11" s="62">
        <f>B10+1</f>
        <v>2</v>
      </c>
      <c r="C11" s="167" t="s">
        <v>412</v>
      </c>
      <c r="D11" s="168"/>
      <c r="E11" s="169">
        <v>9.3055771999999995E-2</v>
      </c>
      <c r="F11" s="169">
        <v>9.3055771999999995E-2</v>
      </c>
    </row>
    <row r="12" spans="2:6" s="15" customFormat="1">
      <c r="B12" s="62">
        <f t="shared" ref="B12:B31" si="0">B11+1</f>
        <v>3</v>
      </c>
      <c r="C12" s="167" t="s">
        <v>413</v>
      </c>
      <c r="D12" s="168"/>
      <c r="E12" s="169">
        <v>0.60073200000000004</v>
      </c>
      <c r="F12" s="169">
        <v>0.60073200000000004</v>
      </c>
    </row>
    <row r="13" spans="2:6" s="15" customFormat="1">
      <c r="B13" s="62">
        <f t="shared" si="0"/>
        <v>4</v>
      </c>
      <c r="C13" s="167" t="s">
        <v>414</v>
      </c>
      <c r="D13" s="168"/>
      <c r="E13" s="169">
        <v>0.14207516000000001</v>
      </c>
      <c r="F13" s="169">
        <v>0.14207516000000001</v>
      </c>
    </row>
    <row r="14" spans="2:6" s="15" customFormat="1">
      <c r="B14" s="62">
        <f t="shared" si="0"/>
        <v>5</v>
      </c>
      <c r="C14" s="167" t="s">
        <v>415</v>
      </c>
      <c r="D14" s="169"/>
      <c r="E14" s="169">
        <v>0</v>
      </c>
      <c r="F14" s="169">
        <v>0</v>
      </c>
    </row>
    <row r="15" spans="2:6" s="15" customFormat="1">
      <c r="B15" s="62">
        <f t="shared" si="0"/>
        <v>6</v>
      </c>
      <c r="C15" s="167" t="s">
        <v>416</v>
      </c>
      <c r="D15" s="169"/>
      <c r="E15" s="169">
        <v>0</v>
      </c>
      <c r="F15" s="169">
        <v>0</v>
      </c>
    </row>
    <row r="16" spans="2:6" s="15" customFormat="1">
      <c r="B16" s="62">
        <f t="shared" si="0"/>
        <v>7</v>
      </c>
      <c r="C16" s="167" t="s">
        <v>417</v>
      </c>
      <c r="D16" s="169"/>
      <c r="E16" s="169">
        <v>3.759206849822213E-2</v>
      </c>
      <c r="F16" s="169">
        <v>3.759206849822213E-2</v>
      </c>
    </row>
    <row r="17" spans="2:6" s="15" customFormat="1">
      <c r="B17" s="62">
        <f t="shared" si="0"/>
        <v>8</v>
      </c>
      <c r="C17" s="167" t="s">
        <v>418</v>
      </c>
      <c r="D17" s="169"/>
      <c r="E17" s="169">
        <v>4.8577847899575338E-3</v>
      </c>
      <c r="F17" s="169">
        <v>4.8577847899575338E-3</v>
      </c>
    </row>
    <row r="18" spans="2:6" s="15" customFormat="1">
      <c r="B18" s="62">
        <f t="shared" si="0"/>
        <v>9</v>
      </c>
      <c r="C18" s="167" t="s">
        <v>419</v>
      </c>
      <c r="D18" s="169"/>
      <c r="E18" s="169">
        <v>1.8293627198891025E-2</v>
      </c>
      <c r="F18" s="169">
        <v>1.8293627198891025E-2</v>
      </c>
    </row>
    <row r="19" spans="2:6" s="15" customFormat="1">
      <c r="B19" s="62">
        <f t="shared" si="0"/>
        <v>10</v>
      </c>
      <c r="C19" s="167" t="s">
        <v>420</v>
      </c>
      <c r="D19" s="169"/>
      <c r="E19" s="169">
        <v>2.0444522463247425E-4</v>
      </c>
      <c r="F19" s="169">
        <v>2.0444522463247425E-4</v>
      </c>
    </row>
    <row r="20" spans="2:6" s="15" customFormat="1">
      <c r="B20" s="62">
        <f t="shared" si="0"/>
        <v>11</v>
      </c>
      <c r="C20" s="167" t="s">
        <v>421</v>
      </c>
      <c r="D20" s="169"/>
      <c r="E20" s="169">
        <v>9.2393385110234594E-3</v>
      </c>
      <c r="F20" s="169">
        <v>9.2393385110234594E-3</v>
      </c>
    </row>
    <row r="21" spans="2:6" s="15" customFormat="1">
      <c r="B21" s="62">
        <f t="shared" si="0"/>
        <v>12</v>
      </c>
      <c r="C21" s="167" t="s">
        <v>422</v>
      </c>
      <c r="D21" s="169"/>
      <c r="E21" s="169">
        <v>2.8605949122317378E-3</v>
      </c>
      <c r="F21" s="169">
        <v>2.8605949122317378E-3</v>
      </c>
    </row>
    <row r="22" spans="2:6">
      <c r="B22" s="62">
        <f t="shared" si="0"/>
        <v>13</v>
      </c>
      <c r="C22" s="167" t="s">
        <v>423</v>
      </c>
      <c r="D22" s="169"/>
      <c r="E22" s="169">
        <v>2.4081813956035682E-2</v>
      </c>
      <c r="F22" s="169">
        <v>2.4081813956035682E-2</v>
      </c>
    </row>
    <row r="23" spans="2:6">
      <c r="B23" s="62">
        <f t="shared" si="0"/>
        <v>14</v>
      </c>
      <c r="C23" s="167" t="s">
        <v>424</v>
      </c>
      <c r="D23" s="169"/>
      <c r="E23" s="169">
        <v>0</v>
      </c>
      <c r="F23" s="169">
        <v>0</v>
      </c>
    </row>
    <row r="24" spans="2:6">
      <c r="B24" s="62">
        <f t="shared" si="0"/>
        <v>15</v>
      </c>
      <c r="C24" s="167" t="s">
        <v>425</v>
      </c>
      <c r="D24" s="169"/>
      <c r="E24" s="169">
        <v>0</v>
      </c>
      <c r="F24" s="169">
        <v>0</v>
      </c>
    </row>
    <row r="25" spans="2:6">
      <c r="B25" s="62">
        <f t="shared" si="0"/>
        <v>16</v>
      </c>
      <c r="C25" s="167" t="s">
        <v>426</v>
      </c>
      <c r="D25" s="169"/>
      <c r="E25" s="169">
        <v>2.0184361406167216E-2</v>
      </c>
      <c r="F25" s="169">
        <v>2.0184361406167216E-2</v>
      </c>
    </row>
    <row r="26" spans="2:6" ht="15.75" customHeight="1">
      <c r="B26" s="62">
        <f t="shared" si="0"/>
        <v>17</v>
      </c>
      <c r="C26" s="167" t="s">
        <v>427</v>
      </c>
      <c r="D26" s="170">
        <f>SUM(D10:D21)</f>
        <v>0</v>
      </c>
      <c r="E26" s="169">
        <v>5.2762930341062664E-2</v>
      </c>
      <c r="F26" s="169">
        <v>5.2762930341062664E-2</v>
      </c>
    </row>
    <row r="27" spans="2:6" s="35" customFormat="1" ht="15">
      <c r="B27" s="62">
        <f t="shared" si="0"/>
        <v>18</v>
      </c>
      <c r="C27" s="167" t="s">
        <v>428</v>
      </c>
      <c r="D27" s="170"/>
      <c r="E27" s="169">
        <v>0.16515903277055971</v>
      </c>
      <c r="F27" s="169">
        <v>0.16515903277055971</v>
      </c>
    </row>
    <row r="28" spans="2:6" s="35" customFormat="1" ht="15">
      <c r="B28" s="62">
        <f t="shared" si="0"/>
        <v>19</v>
      </c>
      <c r="C28" s="167" t="s">
        <v>429</v>
      </c>
      <c r="D28" s="170"/>
      <c r="E28" s="169">
        <v>0.10720924844801905</v>
      </c>
      <c r="F28" s="169">
        <v>0.10720924844801905</v>
      </c>
    </row>
    <row r="29" spans="2:6" s="35" customFormat="1" ht="12.75" customHeight="1">
      <c r="B29" s="62">
        <f t="shared" si="0"/>
        <v>20</v>
      </c>
      <c r="C29" s="167" t="s">
        <v>430</v>
      </c>
      <c r="D29" s="170"/>
      <c r="E29" s="169">
        <v>6.4274421996959258E-3</v>
      </c>
      <c r="F29" s="169">
        <v>6.4274421996959258E-3</v>
      </c>
    </row>
    <row r="30" spans="2:6" s="35" customFormat="1" ht="15">
      <c r="B30" s="62">
        <f t="shared" si="0"/>
        <v>21</v>
      </c>
      <c r="C30" s="167" t="s">
        <v>431</v>
      </c>
      <c r="D30" s="170"/>
      <c r="E30" s="169">
        <v>1.4722247064882519E-3</v>
      </c>
      <c r="F30" s="169">
        <v>1.4722247064882519E-3</v>
      </c>
    </row>
    <row r="31" spans="2:6" s="35" customFormat="1" ht="15">
      <c r="B31" s="62">
        <f t="shared" si="0"/>
        <v>22</v>
      </c>
      <c r="C31" s="167" t="s">
        <v>432</v>
      </c>
      <c r="D31" s="170"/>
      <c r="E31" s="169">
        <v>2.4375E-3</v>
      </c>
      <c r="F31" s="169">
        <v>2.4375E-3</v>
      </c>
    </row>
    <row r="32" spans="2:6">
      <c r="B32" s="22"/>
      <c r="C32" s="69"/>
      <c r="D32" s="70"/>
      <c r="E32" s="31"/>
      <c r="F32" s="3"/>
    </row>
    <row r="33" spans="2:6">
      <c r="B33" s="22"/>
      <c r="C33" s="69"/>
      <c r="D33" s="70"/>
      <c r="E33" s="31"/>
      <c r="F33" s="3"/>
    </row>
    <row r="34" spans="2:6" ht="15">
      <c r="B34" s="22"/>
      <c r="C34" s="33" t="s">
        <v>137</v>
      </c>
      <c r="D34" s="132">
        <f>ROUND(SUM(D10:D33),2)</f>
        <v>0</v>
      </c>
      <c r="E34" s="132">
        <f t="shared" ref="E34:F34" si="1">ROUND(SUM(E10:E33),2)</f>
        <v>1.71</v>
      </c>
      <c r="F34" s="132">
        <f t="shared" si="1"/>
        <v>1.71</v>
      </c>
    </row>
  </sheetData>
  <mergeCells count="6">
    <mergeCell ref="B7:B9"/>
    <mergeCell ref="C7:C9"/>
    <mergeCell ref="D7:F7"/>
    <mergeCell ref="B3:F3"/>
    <mergeCell ref="B4:F4"/>
    <mergeCell ref="B5:F5"/>
  </mergeCells>
  <pageMargins left="1.27" right="0.25" top="0.25" bottom="0.25" header="0.25" footer="0.2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9"/>
  <sheetViews>
    <sheetView showGridLines="0" view="pageBreakPreview" zoomScale="86" zoomScaleNormal="93" zoomScaleSheetLayoutView="86" workbookViewId="0">
      <selection activeCell="H10" sqref="H10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30.42578125" style="5" customWidth="1"/>
    <col min="4" max="4" width="20.85546875" style="5" customWidth="1"/>
    <col min="5" max="16384" width="9.28515625" style="5"/>
  </cols>
  <sheetData>
    <row r="1" spans="2:6" ht="15">
      <c r="B1" s="273" t="s">
        <v>396</v>
      </c>
      <c r="C1" s="273"/>
      <c r="D1" s="273"/>
      <c r="E1" s="35"/>
      <c r="F1" s="35"/>
    </row>
    <row r="2" spans="2:6" ht="15">
      <c r="B2" s="273" t="s">
        <v>467</v>
      </c>
      <c r="C2" s="273"/>
      <c r="D2" s="273"/>
      <c r="E2" s="35"/>
      <c r="F2" s="35"/>
    </row>
    <row r="3" spans="2:6" ht="15">
      <c r="B3" s="306" t="s">
        <v>475</v>
      </c>
      <c r="C3" s="306"/>
      <c r="D3" s="306"/>
      <c r="E3" s="35"/>
      <c r="F3" s="35"/>
    </row>
    <row r="4" spans="2:6" ht="15" customHeight="1">
      <c r="B4" s="277" t="s">
        <v>2</v>
      </c>
      <c r="C4" s="277" t="s">
        <v>16</v>
      </c>
      <c r="D4" s="249" t="s">
        <v>397</v>
      </c>
    </row>
    <row r="5" spans="2:6" ht="15">
      <c r="B5" s="268"/>
      <c r="C5" s="277"/>
      <c r="D5" s="17" t="s">
        <v>291</v>
      </c>
    </row>
    <row r="6" spans="2:6" ht="32.25" customHeight="1">
      <c r="B6" s="304"/>
      <c r="C6" s="305"/>
      <c r="D6" s="17" t="s">
        <v>3</v>
      </c>
    </row>
    <row r="7" spans="2:6" ht="15">
      <c r="B7" s="73">
        <v>1</v>
      </c>
      <c r="C7" s="74" t="s">
        <v>161</v>
      </c>
      <c r="D7" s="246"/>
    </row>
    <row r="8" spans="2:6" s="35" customFormat="1" ht="15">
      <c r="B8" s="75" t="s">
        <v>55</v>
      </c>
      <c r="C8" s="42" t="s">
        <v>56</v>
      </c>
      <c r="D8" s="247"/>
    </row>
    <row r="9" spans="2:6" s="35" customFormat="1" ht="15">
      <c r="B9" s="77"/>
      <c r="C9" s="31" t="s">
        <v>57</v>
      </c>
      <c r="D9" s="247"/>
    </row>
    <row r="10" spans="2:6" s="35" customFormat="1" ht="15">
      <c r="B10" s="77"/>
      <c r="C10" s="31" t="s">
        <v>58</v>
      </c>
      <c r="D10" s="247"/>
    </row>
    <row r="11" spans="2:6" s="35" customFormat="1" ht="15">
      <c r="B11" s="77"/>
      <c r="C11" s="31" t="s">
        <v>59</v>
      </c>
      <c r="D11" s="247"/>
    </row>
    <row r="12" spans="2:6" s="35" customFormat="1" ht="28.5">
      <c r="B12" s="77"/>
      <c r="C12" s="78"/>
      <c r="D12" s="248" t="s">
        <v>470</v>
      </c>
    </row>
    <row r="13" spans="2:6" s="35" customFormat="1" ht="15">
      <c r="B13" s="75" t="s">
        <v>60</v>
      </c>
      <c r="C13" s="79" t="s">
        <v>61</v>
      </c>
      <c r="D13" s="247"/>
    </row>
    <row r="14" spans="2:6" s="35" customFormat="1" ht="15">
      <c r="B14" s="77"/>
      <c r="C14" s="31" t="s">
        <v>57</v>
      </c>
      <c r="D14" s="247"/>
    </row>
    <row r="15" spans="2:6">
      <c r="B15" s="77"/>
      <c r="C15" s="31" t="s">
        <v>58</v>
      </c>
      <c r="D15" s="247"/>
    </row>
    <row r="16" spans="2:6">
      <c r="B16" s="80"/>
      <c r="C16" s="31" t="s">
        <v>62</v>
      </c>
      <c r="D16" s="247"/>
    </row>
    <row r="17" spans="2:4" ht="15">
      <c r="B17" s="80"/>
      <c r="C17" s="79"/>
      <c r="D17" s="247"/>
    </row>
    <row r="18" spans="2:4" ht="17.25" customHeight="1">
      <c r="B18" s="75">
        <v>2</v>
      </c>
      <c r="C18" s="74" t="s">
        <v>162</v>
      </c>
      <c r="D18" s="247"/>
    </row>
    <row r="19" spans="2:4" ht="17.25" customHeight="1">
      <c r="B19" s="75"/>
      <c r="C19" s="74" t="s">
        <v>63</v>
      </c>
      <c r="D19" s="247"/>
    </row>
    <row r="20" spans="2:4" ht="17.25" customHeight="1">
      <c r="B20" s="75"/>
      <c r="C20" s="74" t="s">
        <v>63</v>
      </c>
      <c r="D20" s="247"/>
    </row>
    <row r="21" spans="2:4" ht="15">
      <c r="B21" s="77"/>
      <c r="C21" s="79" t="s">
        <v>64</v>
      </c>
      <c r="D21" s="76"/>
    </row>
    <row r="23" spans="2:4" ht="15">
      <c r="B23" s="81" t="s">
        <v>52</v>
      </c>
      <c r="C23" s="82"/>
      <c r="D23" s="82"/>
    </row>
    <row r="24" spans="2:4" ht="36" customHeight="1">
      <c r="B24" s="303" t="s">
        <v>206</v>
      </c>
      <c r="C24" s="303"/>
      <c r="D24" s="303"/>
    </row>
    <row r="25" spans="2:4" ht="18" customHeight="1">
      <c r="B25" s="82"/>
    </row>
    <row r="26" spans="2:4">
      <c r="B26" s="82"/>
      <c r="C26" s="82"/>
      <c r="D26" s="82"/>
    </row>
    <row r="27" spans="2:4">
      <c r="B27" s="82"/>
      <c r="C27" s="82"/>
      <c r="D27" s="82"/>
    </row>
    <row r="28" spans="2:4">
      <c r="B28" s="82"/>
      <c r="C28" s="82"/>
      <c r="D28" s="82"/>
    </row>
    <row r="29" spans="2:4">
      <c r="B29" s="82"/>
      <c r="C29" s="82"/>
      <c r="D29" s="82"/>
    </row>
  </sheetData>
  <mergeCells count="6">
    <mergeCell ref="B1:D1"/>
    <mergeCell ref="B24:D24"/>
    <mergeCell ref="B4:B6"/>
    <mergeCell ref="C4:C6"/>
    <mergeCell ref="B3:D3"/>
    <mergeCell ref="B2:D2"/>
  </mergeCells>
  <pageMargins left="2" right="0.75" top="0.5" bottom="1" header="0.5" footer="0.5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48"/>
  <sheetViews>
    <sheetView showGridLines="0" view="pageBreakPreview" zoomScale="74" zoomScaleNormal="91" zoomScaleSheetLayoutView="74" workbookViewId="0">
      <selection activeCell="H10" sqref="H10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55.28515625" style="5" customWidth="1"/>
    <col min="4" max="4" width="11" style="37" customWidth="1"/>
    <col min="5" max="5" width="14" style="37" customWidth="1"/>
    <col min="6" max="6" width="12.140625" style="5" customWidth="1"/>
    <col min="7" max="7" width="15" style="5" customWidth="1"/>
    <col min="8" max="8" width="15.7109375" style="5" customWidth="1"/>
    <col min="9" max="16384" width="9.28515625" style="5"/>
  </cols>
  <sheetData>
    <row r="2" spans="2:8" ht="14.25" customHeight="1">
      <c r="B2" s="273" t="s">
        <v>396</v>
      </c>
      <c r="C2" s="273"/>
      <c r="D2" s="273"/>
      <c r="E2" s="273"/>
      <c r="F2" s="273"/>
      <c r="G2" s="273"/>
      <c r="H2" s="273"/>
    </row>
    <row r="3" spans="2:8" ht="14.25" customHeight="1">
      <c r="B3" s="273" t="s">
        <v>467</v>
      </c>
      <c r="C3" s="273"/>
      <c r="D3" s="273"/>
      <c r="E3" s="273"/>
      <c r="F3" s="273"/>
      <c r="G3" s="273"/>
      <c r="H3" s="273"/>
    </row>
    <row r="4" spans="2:8" s="15" customFormat="1" ht="14.25" customHeight="1">
      <c r="B4" s="273" t="s">
        <v>292</v>
      </c>
      <c r="C4" s="273"/>
      <c r="D4" s="273"/>
      <c r="E4" s="273"/>
      <c r="F4" s="273"/>
      <c r="G4" s="273"/>
      <c r="H4" s="273"/>
    </row>
    <row r="5" spans="2:8" s="15" customFormat="1" ht="15">
      <c r="C5" s="72"/>
      <c r="D5" s="37"/>
      <c r="E5" s="37"/>
      <c r="F5" s="83"/>
      <c r="G5" s="83"/>
      <c r="H5" s="57"/>
    </row>
    <row r="6" spans="2:8" ht="15">
      <c r="B6" s="262" t="s">
        <v>189</v>
      </c>
      <c r="C6" s="307" t="s">
        <v>16</v>
      </c>
      <c r="D6" s="307" t="s">
        <v>37</v>
      </c>
      <c r="E6" s="264" t="s">
        <v>397</v>
      </c>
      <c r="F6" s="265"/>
      <c r="G6" s="266"/>
      <c r="H6" s="262" t="s">
        <v>9</v>
      </c>
    </row>
    <row r="7" spans="2:8" ht="30">
      <c r="B7" s="307"/>
      <c r="C7" s="307"/>
      <c r="D7" s="307"/>
      <c r="E7" s="17" t="s">
        <v>365</v>
      </c>
      <c r="F7" s="17" t="s">
        <v>233</v>
      </c>
      <c r="G7" s="17" t="s">
        <v>204</v>
      </c>
      <c r="H7" s="262"/>
    </row>
    <row r="8" spans="2:8" ht="15">
      <c r="B8" s="307"/>
      <c r="C8" s="307"/>
      <c r="D8" s="307"/>
      <c r="E8" s="17" t="s">
        <v>8</v>
      </c>
      <c r="F8" s="17" t="s">
        <v>10</v>
      </c>
      <c r="G8" s="17" t="s">
        <v>226</v>
      </c>
      <c r="H8" s="263"/>
    </row>
    <row r="9" spans="2:8" ht="15">
      <c r="B9" s="17"/>
      <c r="C9" s="84"/>
      <c r="D9" s="85"/>
      <c r="E9" s="85"/>
      <c r="F9" s="29"/>
      <c r="G9" s="29"/>
      <c r="H9" s="29"/>
    </row>
    <row r="10" spans="2:8" ht="15">
      <c r="B10" s="86">
        <v>1</v>
      </c>
      <c r="C10" s="87" t="s">
        <v>208</v>
      </c>
      <c r="D10" s="86" t="s">
        <v>38</v>
      </c>
      <c r="E10" s="86">
        <v>62.5</v>
      </c>
      <c r="F10" s="88"/>
      <c r="G10" s="88"/>
      <c r="H10" s="29"/>
    </row>
    <row r="11" spans="2:8" ht="15">
      <c r="B11" s="86"/>
      <c r="C11" s="87" t="s">
        <v>339</v>
      </c>
      <c r="D11" s="86"/>
      <c r="E11" s="86" t="s">
        <v>468</v>
      </c>
      <c r="F11" s="88"/>
      <c r="G11" s="88"/>
      <c r="H11" s="29"/>
    </row>
    <row r="12" spans="2:8" ht="13.5" customHeight="1">
      <c r="B12" s="86"/>
      <c r="C12" s="87" t="s">
        <v>217</v>
      </c>
      <c r="D12" s="86"/>
      <c r="E12" s="86" t="s">
        <v>469</v>
      </c>
      <c r="F12" s="88"/>
      <c r="G12" s="88"/>
      <c r="H12" s="29"/>
    </row>
    <row r="13" spans="2:8" ht="15">
      <c r="B13" s="86"/>
      <c r="C13" s="87"/>
      <c r="D13" s="86"/>
      <c r="E13" s="86"/>
      <c r="F13" s="88"/>
      <c r="G13" s="88"/>
      <c r="H13" s="29"/>
    </row>
    <row r="14" spans="2:8" ht="15">
      <c r="B14" s="17">
        <v>2</v>
      </c>
      <c r="C14" s="84" t="s">
        <v>169</v>
      </c>
      <c r="D14" s="86"/>
      <c r="E14" s="86"/>
      <c r="F14" s="88"/>
      <c r="G14" s="88"/>
      <c r="H14" s="29"/>
    </row>
    <row r="15" spans="2:8">
      <c r="B15" s="86">
        <f>B14+0.1</f>
        <v>2.1</v>
      </c>
      <c r="C15" s="87" t="s">
        <v>39</v>
      </c>
      <c r="D15" s="86" t="s">
        <v>40</v>
      </c>
      <c r="E15" s="86">
        <v>75</v>
      </c>
      <c r="F15" s="86">
        <v>75</v>
      </c>
      <c r="G15" s="86">
        <v>75</v>
      </c>
      <c r="H15" s="29"/>
    </row>
    <row r="16" spans="2:8" ht="15">
      <c r="B16" s="86">
        <f>B15+0.1</f>
        <v>2.2000000000000002</v>
      </c>
      <c r="C16" s="87" t="s">
        <v>153</v>
      </c>
      <c r="D16" s="86" t="s">
        <v>40</v>
      </c>
      <c r="E16" s="86"/>
      <c r="F16" s="88">
        <v>45.04</v>
      </c>
      <c r="G16" s="88">
        <v>45.04</v>
      </c>
      <c r="H16" s="29"/>
    </row>
    <row r="17" spans="2:8" ht="15">
      <c r="B17" s="86"/>
      <c r="C17" s="87"/>
      <c r="D17" s="86"/>
      <c r="E17" s="86"/>
      <c r="F17" s="88"/>
      <c r="G17" s="88"/>
      <c r="H17" s="29"/>
    </row>
    <row r="18" spans="2:8" ht="15">
      <c r="B18" s="17">
        <v>3</v>
      </c>
      <c r="C18" s="84" t="s">
        <v>170</v>
      </c>
      <c r="D18" s="86"/>
      <c r="E18" s="86"/>
      <c r="F18" s="88"/>
      <c r="G18" s="88"/>
      <c r="H18" s="29"/>
    </row>
    <row r="19" spans="2:8">
      <c r="B19" s="86">
        <f>B18+0.1</f>
        <v>3.1</v>
      </c>
      <c r="C19" s="87" t="s">
        <v>41</v>
      </c>
      <c r="D19" s="86" t="s">
        <v>40</v>
      </c>
      <c r="E19" s="86">
        <v>75</v>
      </c>
      <c r="F19" s="86">
        <v>75</v>
      </c>
      <c r="G19" s="86">
        <v>75</v>
      </c>
      <c r="H19" s="29"/>
    </row>
    <row r="20" spans="2:8" ht="15">
      <c r="B20" s="86">
        <f>B19+0.1</f>
        <v>3.2</v>
      </c>
      <c r="C20" s="87" t="s">
        <v>154</v>
      </c>
      <c r="D20" s="86" t="s">
        <v>40</v>
      </c>
      <c r="E20" s="86"/>
      <c r="F20" s="17">
        <v>47.16</v>
      </c>
      <c r="G20" s="17">
        <v>47.16</v>
      </c>
      <c r="H20" s="29"/>
    </row>
    <row r="21" spans="2:8" ht="15">
      <c r="B21" s="86"/>
      <c r="C21" s="87"/>
      <c r="D21" s="86"/>
      <c r="E21" s="86"/>
      <c r="F21" s="17"/>
      <c r="G21" s="17"/>
      <c r="H21" s="29"/>
    </row>
    <row r="22" spans="2:8" ht="15">
      <c r="B22" s="17">
        <v>4</v>
      </c>
      <c r="C22" s="84" t="s">
        <v>54</v>
      </c>
      <c r="D22" s="86"/>
      <c r="E22" s="86"/>
      <c r="G22" s="17"/>
      <c r="H22" s="29"/>
    </row>
    <row r="23" spans="2:8" ht="15.75">
      <c r="B23" s="86">
        <f>B22+0.1</f>
        <v>4.0999999999999996</v>
      </c>
      <c r="C23" s="87" t="s">
        <v>42</v>
      </c>
      <c r="D23" s="86" t="s">
        <v>43</v>
      </c>
      <c r="E23" s="86"/>
      <c r="F23" s="234">
        <v>219.05600000000001</v>
      </c>
      <c r="G23" s="235">
        <f>F23</f>
        <v>219.05600000000001</v>
      </c>
      <c r="H23" s="29"/>
    </row>
    <row r="24" spans="2:8" ht="15">
      <c r="B24" s="86">
        <f>B23+0.1</f>
        <v>4.1999999999999993</v>
      </c>
      <c r="C24" s="89" t="s">
        <v>155</v>
      </c>
      <c r="D24" s="86" t="s">
        <v>43</v>
      </c>
      <c r="E24" s="86"/>
      <c r="F24" s="17">
        <v>258.89</v>
      </c>
      <c r="G24" s="17">
        <f>F24</f>
        <v>258.89</v>
      </c>
      <c r="H24" s="29"/>
    </row>
    <row r="25" spans="2:8" ht="15">
      <c r="B25" s="86"/>
      <c r="C25" s="89"/>
      <c r="D25" s="86"/>
      <c r="E25" s="86"/>
      <c r="F25" s="17"/>
      <c r="G25" s="17"/>
      <c r="H25" s="29"/>
    </row>
    <row r="26" spans="2:8" ht="15">
      <c r="B26" s="17">
        <v>5</v>
      </c>
      <c r="C26" s="90" t="s">
        <v>167</v>
      </c>
      <c r="D26" s="86"/>
      <c r="E26" s="86"/>
      <c r="F26" s="17"/>
      <c r="G26" s="17"/>
      <c r="H26" s="29"/>
    </row>
    <row r="27" spans="2:8">
      <c r="B27" s="86">
        <f>B26+0.1</f>
        <v>5.0999999999999996</v>
      </c>
      <c r="C27" s="89" t="s">
        <v>44</v>
      </c>
      <c r="D27" s="86" t="s">
        <v>40</v>
      </c>
      <c r="E27" s="86">
        <v>10</v>
      </c>
      <c r="F27" s="86">
        <v>10</v>
      </c>
      <c r="G27" s="86">
        <v>10</v>
      </c>
      <c r="H27" s="29"/>
    </row>
    <row r="28" spans="2:8" ht="16.5" customHeight="1">
      <c r="B28" s="86">
        <f>B27+0.1</f>
        <v>5.1999999999999993</v>
      </c>
      <c r="C28" s="89" t="s">
        <v>156</v>
      </c>
      <c r="D28" s="86" t="s">
        <v>40</v>
      </c>
      <c r="E28" s="86"/>
      <c r="F28" s="17">
        <v>15.39</v>
      </c>
      <c r="G28" s="17">
        <v>15.39</v>
      </c>
      <c r="H28" s="29"/>
    </row>
    <row r="29" spans="2:8" ht="16.5" customHeight="1">
      <c r="B29" s="86">
        <f>B28+0.1</f>
        <v>5.2999999999999989</v>
      </c>
      <c r="C29" s="89" t="s">
        <v>156</v>
      </c>
      <c r="D29" s="86" t="s">
        <v>43</v>
      </c>
      <c r="E29" s="86"/>
      <c r="F29" s="17">
        <v>39.840000000000003</v>
      </c>
      <c r="G29" s="17">
        <v>39.840000000000003</v>
      </c>
      <c r="H29" s="29"/>
    </row>
    <row r="30" spans="2:8" ht="15">
      <c r="B30" s="86">
        <f>B29+0.1</f>
        <v>5.3999999999999986</v>
      </c>
      <c r="C30" s="89" t="s">
        <v>45</v>
      </c>
      <c r="D30" s="86" t="s">
        <v>43</v>
      </c>
      <c r="E30" s="86"/>
      <c r="F30" s="17">
        <v>219.06</v>
      </c>
      <c r="G30" s="17">
        <v>219.06</v>
      </c>
      <c r="H30" s="29"/>
    </row>
    <row r="31" spans="2:8" ht="15">
      <c r="B31" s="86"/>
      <c r="C31" s="89"/>
      <c r="D31" s="86"/>
      <c r="E31" s="86"/>
      <c r="F31" s="17"/>
      <c r="G31" s="17"/>
      <c r="H31" s="29"/>
    </row>
    <row r="32" spans="2:8" ht="15">
      <c r="B32" s="17">
        <v>6</v>
      </c>
      <c r="C32" s="90" t="s">
        <v>203</v>
      </c>
      <c r="D32" s="86"/>
      <c r="E32" s="86"/>
      <c r="F32" s="17"/>
      <c r="G32" s="17"/>
      <c r="H32" s="29"/>
    </row>
    <row r="33" spans="2:8">
      <c r="B33" s="86">
        <f>B32+0.1</f>
        <v>6.1</v>
      </c>
      <c r="C33" s="89" t="s">
        <v>46</v>
      </c>
      <c r="D33" s="86" t="s">
        <v>47</v>
      </c>
      <c r="E33" s="86">
        <v>3000</v>
      </c>
      <c r="F33" s="86">
        <v>3000</v>
      </c>
      <c r="G33" s="86">
        <v>3000</v>
      </c>
      <c r="H33" s="29"/>
    </row>
    <row r="34" spans="2:8" ht="15">
      <c r="B34" s="86">
        <f>B33+0.1</f>
        <v>6.1999999999999993</v>
      </c>
      <c r="C34" s="87" t="s">
        <v>157</v>
      </c>
      <c r="D34" s="86" t="s">
        <v>47</v>
      </c>
      <c r="E34" s="86"/>
      <c r="F34" s="17">
        <v>3246</v>
      </c>
      <c r="G34" s="17">
        <v>3246</v>
      </c>
      <c r="H34" s="29"/>
    </row>
    <row r="35" spans="2:8" ht="15">
      <c r="B35" s="86"/>
      <c r="C35" s="87"/>
      <c r="D35" s="86"/>
      <c r="E35" s="86"/>
      <c r="F35" s="17"/>
      <c r="G35" s="17"/>
      <c r="H35" s="29"/>
    </row>
    <row r="36" spans="2:8" ht="15">
      <c r="B36" s="17">
        <v>7</v>
      </c>
      <c r="C36" s="84" t="s">
        <v>171</v>
      </c>
      <c r="D36" s="86"/>
      <c r="E36" s="86"/>
      <c r="F36" s="17"/>
      <c r="G36" s="17"/>
      <c r="H36" s="29"/>
    </row>
    <row r="37" spans="2:8">
      <c r="B37" s="86">
        <f>B36+0.1</f>
        <v>7.1</v>
      </c>
      <c r="C37" s="87" t="s">
        <v>48</v>
      </c>
      <c r="D37" s="86" t="s">
        <v>49</v>
      </c>
      <c r="E37" s="86">
        <v>2</v>
      </c>
      <c r="F37" s="86">
        <v>2</v>
      </c>
      <c r="G37" s="86">
        <v>2</v>
      </c>
      <c r="H37" s="29"/>
    </row>
    <row r="38" spans="2:8" ht="15">
      <c r="B38" s="86">
        <f>B37+0.1</f>
        <v>7.1999999999999993</v>
      </c>
      <c r="C38" s="87" t="s">
        <v>158</v>
      </c>
      <c r="D38" s="86" t="s">
        <v>49</v>
      </c>
      <c r="E38" s="86"/>
      <c r="F38" s="17">
        <v>4.2590000000000003</v>
      </c>
      <c r="G38" s="17">
        <v>4.2590000000000003</v>
      </c>
      <c r="H38" s="29"/>
    </row>
    <row r="39" spans="2:8" ht="15">
      <c r="B39" s="86"/>
      <c r="C39" s="87"/>
      <c r="D39" s="86"/>
      <c r="E39" s="86"/>
      <c r="F39" s="17"/>
      <c r="G39" s="17"/>
      <c r="H39" s="29"/>
    </row>
    <row r="40" spans="2:8" ht="15">
      <c r="B40" s="17">
        <v>8</v>
      </c>
      <c r="C40" s="84" t="s">
        <v>51</v>
      </c>
      <c r="D40" s="86"/>
      <c r="E40" s="86"/>
      <c r="F40" s="17"/>
      <c r="G40" s="17"/>
      <c r="H40" s="29"/>
    </row>
    <row r="41" spans="2:8" ht="15">
      <c r="B41" s="86">
        <f>B40+0.1</f>
        <v>8.1</v>
      </c>
      <c r="C41" s="87" t="s">
        <v>50</v>
      </c>
      <c r="D41" s="86" t="s">
        <v>40</v>
      </c>
      <c r="E41" s="86">
        <v>0.8</v>
      </c>
      <c r="F41" s="17">
        <v>0.8</v>
      </c>
      <c r="G41" s="17">
        <v>0.8</v>
      </c>
      <c r="H41" s="29"/>
    </row>
    <row r="42" spans="2:8" ht="15">
      <c r="B42" s="86">
        <f>B41+0.1</f>
        <v>8.1999999999999993</v>
      </c>
      <c r="C42" s="87" t="s">
        <v>159</v>
      </c>
      <c r="D42" s="86" t="s">
        <v>40</v>
      </c>
      <c r="E42" s="86"/>
      <c r="F42" s="17">
        <v>0.8</v>
      </c>
      <c r="G42" s="17">
        <v>0.8</v>
      </c>
      <c r="H42" s="29"/>
    </row>
    <row r="43" spans="2:8" ht="15">
      <c r="B43" s="17"/>
      <c r="C43" s="84"/>
      <c r="D43" s="85"/>
      <c r="E43" s="85"/>
      <c r="F43" s="17"/>
      <c r="G43" s="17"/>
      <c r="H43" s="29"/>
    </row>
    <row r="44" spans="2:8" ht="15">
      <c r="B44" s="41"/>
      <c r="C44" s="91"/>
      <c r="D44" s="92"/>
      <c r="E44" s="92"/>
      <c r="F44" s="41"/>
      <c r="G44" s="41"/>
    </row>
    <row r="45" spans="2:8" ht="16.5">
      <c r="D45" s="93"/>
      <c r="E45" s="93"/>
      <c r="F45" s="94"/>
      <c r="G45" s="94"/>
    </row>
    <row r="46" spans="2:8" ht="16.5">
      <c r="B46" s="15"/>
      <c r="F46" s="94"/>
      <c r="G46" s="94"/>
    </row>
    <row r="47" spans="2:8" ht="16.5">
      <c r="C47" s="49"/>
      <c r="F47" s="94"/>
      <c r="G47" s="94"/>
    </row>
    <row r="48" spans="2:8">
      <c r="F48" s="95"/>
      <c r="G48" s="95"/>
    </row>
  </sheetData>
  <mergeCells count="8">
    <mergeCell ref="B2:H2"/>
    <mergeCell ref="B3:H3"/>
    <mergeCell ref="B4:H4"/>
    <mergeCell ref="B6:B8"/>
    <mergeCell ref="C6:C8"/>
    <mergeCell ref="D6:D8"/>
    <mergeCell ref="H6:H8"/>
    <mergeCell ref="E6:G6"/>
  </mergeCells>
  <pageMargins left="1.1599999999999999" right="0.25" top="0.43" bottom="0.63" header="0.5" footer="0.5"/>
  <pageSetup paperSize="9" scale="81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53"/>
  <sheetViews>
    <sheetView showGridLines="0" showWhiteSpace="0" view="pageBreakPreview" zoomScale="70" zoomScaleNormal="91" zoomScaleSheetLayoutView="70" zoomScalePageLayoutView="48" workbookViewId="0">
      <selection activeCell="H10" sqref="H10"/>
    </sheetView>
  </sheetViews>
  <sheetFormatPr defaultColWidth="9.28515625" defaultRowHeight="14.25"/>
  <cols>
    <col min="1" max="1" width="2.28515625" style="96" customWidth="1"/>
    <col min="2" max="2" width="9.28515625" style="96"/>
    <col min="3" max="3" width="57.5703125" style="96" customWidth="1"/>
    <col min="4" max="4" width="8.42578125" style="97" customWidth="1"/>
    <col min="5" max="5" width="11.85546875" style="96" bestFit="1" customWidth="1"/>
    <col min="6" max="6" width="9.7109375" style="96" customWidth="1"/>
    <col min="7" max="9" width="10.7109375" style="96" bestFit="1" customWidth="1"/>
    <col min="10" max="11" width="10.5703125" style="96" customWidth="1"/>
    <col min="12" max="12" width="12" style="96" customWidth="1"/>
    <col min="13" max="14" width="10.7109375" style="96" bestFit="1" customWidth="1"/>
    <col min="15" max="15" width="11" style="96" customWidth="1"/>
    <col min="16" max="16" width="10.7109375" style="96" bestFit="1" customWidth="1"/>
    <col min="17" max="17" width="11" style="96" customWidth="1"/>
    <col min="18" max="19" width="10.7109375" style="96" bestFit="1" customWidth="1"/>
    <col min="20" max="20" width="11.7109375" style="96" customWidth="1"/>
    <col min="21" max="21" width="11.28515625" style="96" customWidth="1"/>
    <col min="22" max="22" width="11.42578125" style="96" customWidth="1"/>
    <col min="23" max="16384" width="9.28515625" style="96"/>
  </cols>
  <sheetData>
    <row r="2" spans="2:22" ht="14.25" customHeight="1">
      <c r="B2" s="273" t="s">
        <v>396</v>
      </c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</row>
    <row r="3" spans="2:22" ht="14.25" customHeight="1">
      <c r="B3" s="273" t="s">
        <v>467</v>
      </c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</row>
    <row r="4" spans="2:22" ht="14.25" customHeight="1">
      <c r="B4" s="273" t="s">
        <v>340</v>
      </c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</row>
    <row r="6" spans="2:22" ht="15">
      <c r="B6" s="308" t="s">
        <v>189</v>
      </c>
      <c r="C6" s="308" t="s">
        <v>16</v>
      </c>
      <c r="D6" s="308" t="s">
        <v>37</v>
      </c>
      <c r="E6" s="308" t="s">
        <v>397</v>
      </c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308" t="s">
        <v>398</v>
      </c>
      <c r="R6" s="308"/>
      <c r="S6" s="308"/>
      <c r="T6" s="308"/>
      <c r="U6" s="308"/>
      <c r="V6" s="308"/>
    </row>
    <row r="7" spans="2:22" ht="15">
      <c r="B7" s="308"/>
      <c r="C7" s="308"/>
      <c r="D7" s="308"/>
      <c r="E7" s="99" t="s">
        <v>139</v>
      </c>
      <c r="F7" s="99" t="s">
        <v>140</v>
      </c>
      <c r="G7" s="99" t="s">
        <v>141</v>
      </c>
      <c r="H7" s="99" t="s">
        <v>142</v>
      </c>
      <c r="I7" s="99" t="s">
        <v>143</v>
      </c>
      <c r="J7" s="99" t="s">
        <v>144</v>
      </c>
      <c r="K7" s="99" t="s">
        <v>145</v>
      </c>
      <c r="L7" s="99" t="s">
        <v>146</v>
      </c>
      <c r="M7" s="99" t="s">
        <v>147</v>
      </c>
      <c r="N7" s="99" t="s">
        <v>148</v>
      </c>
      <c r="O7" s="99" t="s">
        <v>149</v>
      </c>
      <c r="P7" s="99" t="s">
        <v>150</v>
      </c>
      <c r="Q7" s="99" t="s">
        <v>139</v>
      </c>
      <c r="R7" s="99" t="s">
        <v>140</v>
      </c>
      <c r="S7" s="99" t="s">
        <v>141</v>
      </c>
      <c r="T7" s="99" t="s">
        <v>142</v>
      </c>
      <c r="U7" s="99" t="s">
        <v>143</v>
      </c>
      <c r="V7" s="99" t="s">
        <v>144</v>
      </c>
    </row>
    <row r="8" spans="2:22" ht="15">
      <c r="B8" s="99" t="s">
        <v>65</v>
      </c>
      <c r="C8" s="101" t="s">
        <v>297</v>
      </c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</row>
    <row r="9" spans="2:22">
      <c r="B9" s="100">
        <v>1</v>
      </c>
      <c r="C9" s="30" t="s">
        <v>298</v>
      </c>
      <c r="D9" s="200" t="s">
        <v>300</v>
      </c>
      <c r="E9" s="184">
        <v>12364.969999999952</v>
      </c>
      <c r="F9" s="184">
        <v>8144.4299999999457</v>
      </c>
      <c r="G9" s="184">
        <v>4312.9999999999491</v>
      </c>
      <c r="H9" s="184">
        <v>5034.8199999999488</v>
      </c>
      <c r="I9" s="184">
        <v>4028.2799999999552</v>
      </c>
      <c r="J9" s="184">
        <v>2332.8299999999399</v>
      </c>
      <c r="K9" s="184">
        <v>6239.6999999999362</v>
      </c>
      <c r="L9" s="184">
        <v>4841.4199999999364</v>
      </c>
      <c r="M9" s="184">
        <v>3678.589999999931</v>
      </c>
      <c r="N9" s="184">
        <v>7059.8199999999288</v>
      </c>
      <c r="O9" s="184">
        <v>5867.2499999999236</v>
      </c>
      <c r="P9" s="184">
        <v>8129.6299999998955</v>
      </c>
      <c r="Q9" s="184">
        <v>6875.7099999999009</v>
      </c>
      <c r="R9" s="184">
        <v>3888.7699999999058</v>
      </c>
      <c r="S9" s="184">
        <v>4434.6599999999089</v>
      </c>
      <c r="T9" s="184">
        <v>3632.559999999909</v>
      </c>
      <c r="U9" s="184">
        <v>3624.329999999909</v>
      </c>
      <c r="V9" s="184">
        <v>3624.329999999909</v>
      </c>
    </row>
    <row r="10" spans="2:22">
      <c r="B10" s="100">
        <f>B9+1</f>
        <v>2</v>
      </c>
      <c r="C10" s="30" t="s">
        <v>299</v>
      </c>
      <c r="D10" s="201" t="s">
        <v>436</v>
      </c>
      <c r="E10" s="183">
        <v>4.6817634913736503</v>
      </c>
      <c r="F10" s="183">
        <v>3.5419184727232604</v>
      </c>
      <c r="G10" s="183">
        <v>2.0880060149988431</v>
      </c>
      <c r="H10" s="183">
        <v>2.4751626225975709</v>
      </c>
      <c r="I10" s="183">
        <v>2.0767828371477215</v>
      </c>
      <c r="J10" s="183">
        <v>1.2156133844635517</v>
      </c>
      <c r="K10" s="183">
        <v>3.1748547307628101</v>
      </c>
      <c r="L10" s="183">
        <v>2.4691165484180106</v>
      </c>
      <c r="M10" s="183">
        <v>1.8473985755478668</v>
      </c>
      <c r="N10" s="183">
        <v>3.5144792239389107</v>
      </c>
      <c r="O10" s="183">
        <v>2.8722272995639675</v>
      </c>
      <c r="P10" s="183">
        <v>3.987893173435606</v>
      </c>
      <c r="Q10" s="183">
        <v>3.4548099754536925</v>
      </c>
      <c r="R10" s="183">
        <v>2.087078590221525</v>
      </c>
      <c r="S10" s="183">
        <v>2.3090380432522726</v>
      </c>
      <c r="T10" s="183">
        <v>1.8914007464825797</v>
      </c>
      <c r="U10" s="183">
        <v>1.8871155514290772</v>
      </c>
      <c r="V10" s="183">
        <v>1.9093230634290774</v>
      </c>
    </row>
    <row r="11" spans="2:22" ht="15">
      <c r="B11" s="99" t="s">
        <v>69</v>
      </c>
      <c r="C11" s="101" t="s">
        <v>301</v>
      </c>
      <c r="D11" s="200"/>
      <c r="E11" s="184"/>
      <c r="F11" s="184"/>
      <c r="G11" s="184"/>
      <c r="H11" s="184"/>
      <c r="I11" s="184"/>
      <c r="J11" s="184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</row>
    <row r="12" spans="2:22">
      <c r="B12" s="100">
        <f>B10+1</f>
        <v>3</v>
      </c>
      <c r="C12" s="30" t="s">
        <v>302</v>
      </c>
      <c r="D12" s="200" t="s">
        <v>300</v>
      </c>
      <c r="E12" s="184">
        <v>14088.250000000004</v>
      </c>
      <c r="F12" s="184">
        <v>20871.44000000001</v>
      </c>
      <c r="G12" s="184">
        <v>22277.279999999999</v>
      </c>
      <c r="H12" s="184">
        <v>22733.53</v>
      </c>
      <c r="I12" s="184">
        <v>18846.18</v>
      </c>
      <c r="J12" s="184">
        <v>7198.7</v>
      </c>
      <c r="K12" s="184">
        <v>356.65</v>
      </c>
      <c r="L12" s="184">
        <v>18720.200000000004</v>
      </c>
      <c r="M12" s="184">
        <v>27832.060000000027</v>
      </c>
      <c r="N12" s="184">
        <v>26211.350000000046</v>
      </c>
      <c r="O12" s="184">
        <v>26789.030000000064</v>
      </c>
      <c r="P12" s="184">
        <v>17208.700000000023</v>
      </c>
      <c r="Q12" s="184">
        <v>6765.3200000000033</v>
      </c>
      <c r="R12" s="184">
        <v>10428.040000000001</v>
      </c>
      <c r="S12" s="184">
        <v>0</v>
      </c>
      <c r="T12" s="184">
        <v>0</v>
      </c>
      <c r="U12" s="184">
        <v>0</v>
      </c>
      <c r="V12" s="184">
        <v>0</v>
      </c>
    </row>
    <row r="13" spans="2:22">
      <c r="B13" s="100">
        <f>B12+1</f>
        <v>4</v>
      </c>
      <c r="C13" s="30" t="s">
        <v>390</v>
      </c>
      <c r="D13" s="200" t="s">
        <v>300</v>
      </c>
      <c r="E13" s="184"/>
      <c r="F13" s="184"/>
      <c r="G13" s="184"/>
      <c r="H13" s="184"/>
      <c r="I13" s="184"/>
      <c r="J13" s="184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</row>
    <row r="14" spans="2:22" ht="15">
      <c r="B14" s="100">
        <f>B13+1</f>
        <v>5</v>
      </c>
      <c r="C14" s="30" t="s">
        <v>303</v>
      </c>
      <c r="D14" s="200" t="s">
        <v>300</v>
      </c>
      <c r="E14" s="125">
        <f>E12+E13</f>
        <v>14088.250000000004</v>
      </c>
      <c r="F14" s="125">
        <f t="shared" ref="F14:V14" si="0">F12+F13</f>
        <v>20871.44000000001</v>
      </c>
      <c r="G14" s="125">
        <f t="shared" si="0"/>
        <v>22277.279999999999</v>
      </c>
      <c r="H14" s="125">
        <f t="shared" si="0"/>
        <v>22733.53</v>
      </c>
      <c r="I14" s="125">
        <f t="shared" si="0"/>
        <v>18846.18</v>
      </c>
      <c r="J14" s="125">
        <f t="shared" si="0"/>
        <v>7198.7</v>
      </c>
      <c r="K14" s="125">
        <f t="shared" si="0"/>
        <v>356.65</v>
      </c>
      <c r="L14" s="125">
        <f t="shared" si="0"/>
        <v>18720.200000000004</v>
      </c>
      <c r="M14" s="125">
        <f t="shared" si="0"/>
        <v>27832.060000000027</v>
      </c>
      <c r="N14" s="125">
        <f t="shared" si="0"/>
        <v>26211.350000000046</v>
      </c>
      <c r="O14" s="125">
        <f t="shared" si="0"/>
        <v>26789.030000000064</v>
      </c>
      <c r="P14" s="125">
        <f t="shared" si="0"/>
        <v>17208.700000000023</v>
      </c>
      <c r="Q14" s="125">
        <f t="shared" si="0"/>
        <v>6765.3200000000033</v>
      </c>
      <c r="R14" s="125">
        <f t="shared" si="0"/>
        <v>10428.040000000001</v>
      </c>
      <c r="S14" s="125">
        <f t="shared" si="0"/>
        <v>0</v>
      </c>
      <c r="T14" s="125">
        <f t="shared" si="0"/>
        <v>0</v>
      </c>
      <c r="U14" s="125">
        <f t="shared" si="0"/>
        <v>0</v>
      </c>
      <c r="V14" s="125">
        <f t="shared" si="0"/>
        <v>0</v>
      </c>
    </row>
    <row r="15" spans="2:22">
      <c r="B15" s="100">
        <f>B14+1</f>
        <v>6</v>
      </c>
      <c r="C15" s="30" t="s">
        <v>304</v>
      </c>
      <c r="D15" s="200" t="s">
        <v>300</v>
      </c>
      <c r="E15" s="195">
        <v>112.70600000000013</v>
      </c>
      <c r="F15" s="195">
        <v>166.97151999999915</v>
      </c>
      <c r="G15" s="195">
        <v>178.21823999999833</v>
      </c>
      <c r="H15" s="195">
        <v>181.86823999999979</v>
      </c>
      <c r="I15" s="195">
        <v>150.76944000000003</v>
      </c>
      <c r="J15" s="195">
        <v>57.589600000000246</v>
      </c>
      <c r="K15" s="195">
        <v>2.8532000000000153</v>
      </c>
      <c r="L15" s="195">
        <v>149.76160000000164</v>
      </c>
      <c r="M15" s="195">
        <v>222.65648000000147</v>
      </c>
      <c r="N15" s="195">
        <v>209.69080000000031</v>
      </c>
      <c r="O15" s="195">
        <v>214.31223999999929</v>
      </c>
      <c r="P15" s="195">
        <v>137.66960000000108</v>
      </c>
      <c r="Q15" s="195">
        <v>54.122559999999794</v>
      </c>
      <c r="R15" s="195">
        <v>83.42432000000008</v>
      </c>
      <c r="S15" s="195">
        <v>0</v>
      </c>
      <c r="T15" s="195">
        <v>0</v>
      </c>
      <c r="U15" s="195">
        <v>0</v>
      </c>
      <c r="V15" s="195">
        <v>0</v>
      </c>
    </row>
    <row r="16" spans="2:22" ht="15">
      <c r="B16" s="100">
        <f>B15+1</f>
        <v>7</v>
      </c>
      <c r="C16" s="30" t="s">
        <v>305</v>
      </c>
      <c r="D16" s="200" t="s">
        <v>300</v>
      </c>
      <c r="E16" s="125">
        <f>E14-E15</f>
        <v>13975.544000000004</v>
      </c>
      <c r="F16" s="125">
        <f t="shared" ref="F16:V16" si="1">F14-F15</f>
        <v>20704.46848000001</v>
      </c>
      <c r="G16" s="125">
        <f t="shared" si="1"/>
        <v>22099.061760000001</v>
      </c>
      <c r="H16" s="125">
        <f t="shared" si="1"/>
        <v>22551.661759999999</v>
      </c>
      <c r="I16" s="125">
        <f t="shared" si="1"/>
        <v>18695.41056</v>
      </c>
      <c r="J16" s="125">
        <f t="shared" si="1"/>
        <v>7141.1103999999996</v>
      </c>
      <c r="K16" s="125">
        <f t="shared" si="1"/>
        <v>353.79679999999996</v>
      </c>
      <c r="L16" s="125">
        <f t="shared" si="1"/>
        <v>18570.438400000003</v>
      </c>
      <c r="M16" s="125">
        <f t="shared" si="1"/>
        <v>27609.403520000025</v>
      </c>
      <c r="N16" s="125">
        <f t="shared" si="1"/>
        <v>26001.659200000046</v>
      </c>
      <c r="O16" s="125">
        <f t="shared" si="1"/>
        <v>26574.717760000065</v>
      </c>
      <c r="P16" s="125">
        <f t="shared" si="1"/>
        <v>17071.030400000021</v>
      </c>
      <c r="Q16" s="125">
        <f t="shared" si="1"/>
        <v>6711.1974400000036</v>
      </c>
      <c r="R16" s="125">
        <f t="shared" si="1"/>
        <v>10344.615680000001</v>
      </c>
      <c r="S16" s="125">
        <f t="shared" si="1"/>
        <v>0</v>
      </c>
      <c r="T16" s="125">
        <f t="shared" si="1"/>
        <v>0</v>
      </c>
      <c r="U16" s="125">
        <f t="shared" si="1"/>
        <v>0</v>
      </c>
      <c r="V16" s="125">
        <f t="shared" si="1"/>
        <v>0</v>
      </c>
    </row>
    <row r="17" spans="2:22" ht="15">
      <c r="B17" s="99" t="s">
        <v>70</v>
      </c>
      <c r="C17" s="101" t="s">
        <v>306</v>
      </c>
      <c r="D17" s="20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</row>
    <row r="18" spans="2:22">
      <c r="B18" s="100">
        <f>B16+1</f>
        <v>8</v>
      </c>
      <c r="C18" s="30" t="s">
        <v>307</v>
      </c>
      <c r="D18" s="201" t="s">
        <v>436</v>
      </c>
      <c r="E18" s="199">
        <v>6.3339735919999915</v>
      </c>
      <c r="F18" s="199">
        <v>9.86450987300001</v>
      </c>
      <c r="G18" s="199">
        <v>10.369214585000002</v>
      </c>
      <c r="H18" s="199">
        <v>11.385920020999999</v>
      </c>
      <c r="I18" s="199">
        <v>9.6564806139999977</v>
      </c>
      <c r="J18" s="199">
        <v>3.5816681359999998</v>
      </c>
      <c r="K18" s="199">
        <v>0.161198551</v>
      </c>
      <c r="L18" s="199">
        <v>8.8621975749999979</v>
      </c>
      <c r="M18" s="199">
        <v>13.300073532000006</v>
      </c>
      <c r="N18" s="199">
        <v>12.27799173500002</v>
      </c>
      <c r="O18" s="199">
        <v>12.526533167000027</v>
      </c>
      <c r="P18" s="199">
        <v>8.2569908200000039</v>
      </c>
      <c r="Q18" s="199">
        <v>3.4587097650000014</v>
      </c>
      <c r="R18" s="199">
        <v>5.0257417240000004</v>
      </c>
      <c r="S18" s="199">
        <v>0</v>
      </c>
      <c r="T18" s="199">
        <v>0</v>
      </c>
      <c r="U18" s="199">
        <v>0</v>
      </c>
      <c r="V18" s="199">
        <v>0</v>
      </c>
    </row>
    <row r="19" spans="2:22">
      <c r="B19" s="100">
        <f>B18+1</f>
        <v>9</v>
      </c>
      <c r="C19" s="30" t="s">
        <v>308</v>
      </c>
      <c r="D19" s="201" t="s">
        <v>436</v>
      </c>
      <c r="E19" s="199">
        <v>0.18158663824560037</v>
      </c>
      <c r="F19" s="199">
        <v>0.19479411059320001</v>
      </c>
      <c r="G19" s="199">
        <v>9.5561030502800251E-2</v>
      </c>
      <c r="H19" s="199">
        <v>-3.9744747262000106E-2</v>
      </c>
      <c r="I19" s="199">
        <v>-0.2393583759659999</v>
      </c>
      <c r="J19" s="199">
        <v>-0.18868541871799999</v>
      </c>
      <c r="K19" s="199">
        <v>-5.5883299999999997E-2</v>
      </c>
      <c r="L19" s="199">
        <v>-5.138349615999978E-3</v>
      </c>
      <c r="M19" s="199">
        <v>-5.7951882626800032E-2</v>
      </c>
      <c r="N19" s="199">
        <v>-7.2561260898399996E-2</v>
      </c>
      <c r="O19" s="199">
        <v>2.679763977599996E-2</v>
      </c>
      <c r="P19" s="199">
        <v>4.536247224639995E-2</v>
      </c>
      <c r="Q19" s="199">
        <v>0.17242999032160003</v>
      </c>
      <c r="R19" s="199">
        <v>4.0073402299200034E-2</v>
      </c>
      <c r="S19" s="199">
        <v>0</v>
      </c>
      <c r="T19" s="199">
        <v>0</v>
      </c>
      <c r="U19" s="199">
        <v>2.2207511999999999E-2</v>
      </c>
      <c r="V19" s="199">
        <v>0</v>
      </c>
    </row>
    <row r="20" spans="2:22">
      <c r="B20" s="100">
        <f>B19+1</f>
        <v>10</v>
      </c>
      <c r="C20" s="30" t="s">
        <v>309</v>
      </c>
      <c r="D20" s="201" t="s">
        <v>436</v>
      </c>
      <c r="E20" s="199">
        <v>9.9837499999999996E-2</v>
      </c>
      <c r="F20" s="199">
        <v>0.14465040000000001</v>
      </c>
      <c r="G20" s="199">
        <v>0.1772358</v>
      </c>
      <c r="H20" s="199">
        <v>0.16222919999999999</v>
      </c>
      <c r="I20" s="199">
        <v>0.14690790000000001</v>
      </c>
      <c r="J20" s="199">
        <v>0.1330896</v>
      </c>
      <c r="K20" s="199">
        <v>7.6763849999999995E-2</v>
      </c>
      <c r="L20" s="199">
        <v>0.20832645</v>
      </c>
      <c r="M20" s="199">
        <v>0.17363139</v>
      </c>
      <c r="N20" s="199">
        <v>0.135906</v>
      </c>
      <c r="O20" s="199">
        <v>0.147692463</v>
      </c>
      <c r="P20" s="199">
        <v>0.171860973</v>
      </c>
      <c r="Q20" s="199">
        <v>0.1362081</v>
      </c>
      <c r="R20" s="199">
        <v>0.13765939999999999</v>
      </c>
      <c r="S20" s="199">
        <v>0</v>
      </c>
      <c r="T20" s="199">
        <v>0</v>
      </c>
      <c r="U20" s="199">
        <v>0</v>
      </c>
      <c r="V20" s="199">
        <v>0</v>
      </c>
    </row>
    <row r="21" spans="2:22" ht="15">
      <c r="B21" s="100">
        <f>B20+1</f>
        <v>11</v>
      </c>
      <c r="C21" s="30" t="s">
        <v>310</v>
      </c>
      <c r="D21" s="201" t="s">
        <v>436</v>
      </c>
      <c r="E21" s="126">
        <f>E18+E19+E20</f>
        <v>6.6153977302455917</v>
      </c>
      <c r="F21" s="126">
        <f t="shared" ref="F21:V21" si="2">F18+F19+F20</f>
        <v>10.20395438359321</v>
      </c>
      <c r="G21" s="126">
        <f t="shared" si="2"/>
        <v>10.642011415502802</v>
      </c>
      <c r="H21" s="126">
        <f t="shared" si="2"/>
        <v>11.508404473737999</v>
      </c>
      <c r="I21" s="126">
        <f t="shared" si="2"/>
        <v>9.5640301380339974</v>
      </c>
      <c r="J21" s="126">
        <f t="shared" si="2"/>
        <v>3.5260723172819999</v>
      </c>
      <c r="K21" s="126">
        <f t="shared" si="2"/>
        <v>0.18207910099999999</v>
      </c>
      <c r="L21" s="126">
        <f t="shared" si="2"/>
        <v>9.0653856753839968</v>
      </c>
      <c r="M21" s="126">
        <f t="shared" si="2"/>
        <v>13.415753039373207</v>
      </c>
      <c r="N21" s="126">
        <f t="shared" si="2"/>
        <v>12.34133647410162</v>
      </c>
      <c r="O21" s="126">
        <f t="shared" si="2"/>
        <v>12.701023269776027</v>
      </c>
      <c r="P21" s="126">
        <f t="shared" si="2"/>
        <v>8.4742142652464025</v>
      </c>
      <c r="Q21" s="126">
        <f t="shared" si="2"/>
        <v>3.7673478553216015</v>
      </c>
      <c r="R21" s="126">
        <f t="shared" si="2"/>
        <v>5.2034745262991997</v>
      </c>
      <c r="S21" s="126">
        <f t="shared" si="2"/>
        <v>0</v>
      </c>
      <c r="T21" s="126">
        <f t="shared" si="2"/>
        <v>0</v>
      </c>
      <c r="U21" s="126">
        <f t="shared" si="2"/>
        <v>2.2207511999999999E-2</v>
      </c>
      <c r="V21" s="126">
        <f t="shared" si="2"/>
        <v>0</v>
      </c>
    </row>
    <row r="22" spans="2:22" ht="15">
      <c r="B22" s="99" t="s">
        <v>311</v>
      </c>
      <c r="C22" s="101" t="s">
        <v>312</v>
      </c>
      <c r="D22" s="20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</row>
    <row r="23" spans="2:22">
      <c r="B23" s="100">
        <f>B21+1</f>
        <v>12</v>
      </c>
      <c r="C23" s="30" t="s">
        <v>313</v>
      </c>
      <c r="D23" s="20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</row>
    <row r="24" spans="2:22">
      <c r="B24" s="100"/>
      <c r="C24" s="30" t="s">
        <v>314</v>
      </c>
      <c r="D24" s="201" t="s">
        <v>436</v>
      </c>
      <c r="E24" s="199">
        <v>0.15802387023200001</v>
      </c>
      <c r="F24" s="199">
        <v>0.22043216393199996</v>
      </c>
      <c r="G24" s="199">
        <v>0.2543887754980001</v>
      </c>
      <c r="H24" s="199">
        <v>0.23866468905599988</v>
      </c>
      <c r="I24" s="199">
        <v>0.20026519560000006</v>
      </c>
      <c r="J24" s="199">
        <v>7.8799978320000005E-2</v>
      </c>
      <c r="K24" s="199">
        <v>5.7391155999999988E-3</v>
      </c>
      <c r="L24" s="199">
        <v>0.22300102039999994</v>
      </c>
      <c r="M24" s="199">
        <v>0.31245841263999985</v>
      </c>
      <c r="N24" s="199">
        <v>0.3289528259200003</v>
      </c>
      <c r="O24" s="199">
        <v>0.34077033479999935</v>
      </c>
      <c r="P24" s="199">
        <v>0.20036566415999987</v>
      </c>
      <c r="Q24" s="199">
        <v>6.9850599999999999E-2</v>
      </c>
      <c r="R24" s="199">
        <v>0.12048381063999983</v>
      </c>
      <c r="S24" s="199">
        <v>0</v>
      </c>
      <c r="T24" s="199">
        <v>0</v>
      </c>
      <c r="U24" s="199">
        <v>0</v>
      </c>
      <c r="V24" s="199">
        <v>0</v>
      </c>
    </row>
    <row r="25" spans="2:22">
      <c r="B25" s="100"/>
      <c r="C25" s="30" t="s">
        <v>315</v>
      </c>
      <c r="D25" s="201" t="s">
        <v>436</v>
      </c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</row>
    <row r="26" spans="2:22">
      <c r="B26" s="100"/>
      <c r="C26" s="30" t="s">
        <v>316</v>
      </c>
      <c r="D26" s="201" t="s">
        <v>436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</row>
    <row r="27" spans="2:22">
      <c r="B27" s="100"/>
      <c r="C27" s="30" t="s">
        <v>7</v>
      </c>
      <c r="D27" s="201" t="s">
        <v>436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2:22">
      <c r="B28" s="100">
        <f>B23+1</f>
        <v>13</v>
      </c>
      <c r="C28" s="30" t="s">
        <v>317</v>
      </c>
      <c r="D28" s="201" t="s">
        <v>436</v>
      </c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</row>
    <row r="29" spans="2:22">
      <c r="B29" s="100">
        <f>B28+1</f>
        <v>14</v>
      </c>
      <c r="C29" s="30" t="s">
        <v>318</v>
      </c>
      <c r="D29" s="201" t="s">
        <v>436</v>
      </c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</row>
    <row r="30" spans="2:22" ht="28.5">
      <c r="B30" s="100">
        <f>B29+1</f>
        <v>15</v>
      </c>
      <c r="C30" s="102" t="s">
        <v>387</v>
      </c>
      <c r="D30" s="201" t="s">
        <v>436</v>
      </c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2:22">
      <c r="B31" s="100">
        <f>B30+1</f>
        <v>16</v>
      </c>
      <c r="C31" s="102" t="s">
        <v>319</v>
      </c>
      <c r="D31" s="201" t="s">
        <v>436</v>
      </c>
      <c r="E31" s="199">
        <v>0.15802387023200001</v>
      </c>
      <c r="F31" s="199">
        <v>0.22043216393199996</v>
      </c>
      <c r="G31" s="199">
        <v>0.2543887754980001</v>
      </c>
      <c r="H31" s="199">
        <v>0.23866468905599988</v>
      </c>
      <c r="I31" s="199">
        <v>0.20026519560000006</v>
      </c>
      <c r="J31" s="199">
        <v>7.8799978320000005E-2</v>
      </c>
      <c r="K31" s="199">
        <v>5.7391155999999988E-3</v>
      </c>
      <c r="L31" s="199">
        <v>0.22300102039999994</v>
      </c>
      <c r="M31" s="199">
        <v>0.31245841263999985</v>
      </c>
      <c r="N31" s="199">
        <v>0.3289528259200003</v>
      </c>
      <c r="O31" s="199">
        <v>0.34077033479999935</v>
      </c>
      <c r="P31" s="199">
        <v>0.20036566415999987</v>
      </c>
      <c r="Q31" s="199">
        <v>6.9850599999999999E-2</v>
      </c>
      <c r="R31" s="199">
        <v>0.12048381063999983</v>
      </c>
      <c r="S31" s="199">
        <v>0</v>
      </c>
      <c r="T31" s="199">
        <v>0</v>
      </c>
      <c r="U31" s="199">
        <v>0</v>
      </c>
      <c r="V31" s="199">
        <v>0</v>
      </c>
    </row>
    <row r="32" spans="2:22" ht="28.5">
      <c r="B32" s="100">
        <f>B31+1</f>
        <v>17</v>
      </c>
      <c r="C32" s="102" t="s">
        <v>320</v>
      </c>
      <c r="D32" s="201" t="s">
        <v>436</v>
      </c>
      <c r="E32" s="126">
        <f>E21+E31</f>
        <v>6.773421600477592</v>
      </c>
      <c r="F32" s="126">
        <f t="shared" ref="F32:V32" si="3">F21+F31</f>
        <v>10.424386547525209</v>
      </c>
      <c r="G32" s="126">
        <f t="shared" si="3"/>
        <v>10.896400191000803</v>
      </c>
      <c r="H32" s="126">
        <f t="shared" si="3"/>
        <v>11.747069162793998</v>
      </c>
      <c r="I32" s="126">
        <f t="shared" si="3"/>
        <v>9.7642953336339975</v>
      </c>
      <c r="J32" s="126">
        <f t="shared" si="3"/>
        <v>3.6048722956020001</v>
      </c>
      <c r="K32" s="126">
        <f t="shared" si="3"/>
        <v>0.1878182166</v>
      </c>
      <c r="L32" s="126">
        <f t="shared" si="3"/>
        <v>9.2883866957839967</v>
      </c>
      <c r="M32" s="126">
        <f t="shared" si="3"/>
        <v>13.728211452013207</v>
      </c>
      <c r="N32" s="126">
        <f t="shared" si="3"/>
        <v>12.67028930002162</v>
      </c>
      <c r="O32" s="126">
        <f t="shared" si="3"/>
        <v>13.041793604576027</v>
      </c>
      <c r="P32" s="126">
        <f t="shared" si="3"/>
        <v>8.6745799294064021</v>
      </c>
      <c r="Q32" s="126">
        <f t="shared" si="3"/>
        <v>3.8371984553216016</v>
      </c>
      <c r="R32" s="126">
        <f t="shared" si="3"/>
        <v>5.3239583369391994</v>
      </c>
      <c r="S32" s="126">
        <f t="shared" si="3"/>
        <v>0</v>
      </c>
      <c r="T32" s="126">
        <f t="shared" si="3"/>
        <v>0</v>
      </c>
      <c r="U32" s="126">
        <f t="shared" si="3"/>
        <v>2.2207511999999999E-2</v>
      </c>
      <c r="V32" s="126">
        <f t="shared" si="3"/>
        <v>0</v>
      </c>
    </row>
    <row r="33" spans="2:22" ht="15">
      <c r="B33" s="99" t="s">
        <v>321</v>
      </c>
      <c r="C33" s="101" t="s">
        <v>185</v>
      </c>
      <c r="D33" s="20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2:22" ht="15">
      <c r="B34" s="100">
        <f>B32+1</f>
        <v>18</v>
      </c>
      <c r="C34" s="102" t="s">
        <v>322</v>
      </c>
      <c r="D34" s="200" t="s">
        <v>323</v>
      </c>
      <c r="E34" s="126">
        <f>IFERROR((E10+E32)/(E9+E16)*10000000,0)</f>
        <v>4348.8844188276889</v>
      </c>
      <c r="F34" s="126">
        <f t="shared" ref="F34:V34" si="4">IFERROR((F10+F32)/(F9+F16)*10000000,0)</f>
        <v>4841.1917806604906</v>
      </c>
      <c r="G34" s="126">
        <f t="shared" si="4"/>
        <v>4916.0895972400112</v>
      </c>
      <c r="H34" s="126">
        <f t="shared" si="4"/>
        <v>5155.5076537572932</v>
      </c>
      <c r="I34" s="126">
        <f t="shared" si="4"/>
        <v>5210.8957123475911</v>
      </c>
      <c r="J34" s="126">
        <f t="shared" si="4"/>
        <v>5088.1528451092881</v>
      </c>
      <c r="K34" s="126">
        <f t="shared" si="4"/>
        <v>5099.9841955832035</v>
      </c>
      <c r="L34" s="126">
        <f>IFERROR((L10+L32)/(L9+L16)*10000000,0)</f>
        <v>5022.0290261972696</v>
      </c>
      <c r="M34" s="126">
        <f t="shared" si="4"/>
        <v>4978.142819418832</v>
      </c>
      <c r="N34" s="126">
        <f t="shared" si="4"/>
        <v>4895.355233821645</v>
      </c>
      <c r="O34" s="126">
        <f>IFERROR((O10+O32)/(O9+O16)*10000000,0)</f>
        <v>4905.3809010196737</v>
      </c>
      <c r="P34" s="126">
        <f t="shared" si="4"/>
        <v>5024.6592358516318</v>
      </c>
      <c r="Q34" s="126">
        <f>IFERROR((Q10+Q32)/(Q9+Q16)*10000000,0)</f>
        <v>5366.9375926618841</v>
      </c>
      <c r="R34" s="126">
        <f t="shared" si="4"/>
        <v>5206.7983639158811</v>
      </c>
      <c r="S34" s="126">
        <f>IFERROR((S10+S32)/(S9+S16)*10000000,0)</f>
        <v>5206.7983639158811</v>
      </c>
      <c r="T34" s="126">
        <f t="shared" si="4"/>
        <v>5206.7983639158811</v>
      </c>
      <c r="U34" s="126">
        <f>IFERROR((U10+U32)/(U9+U16)*10000000,0)</f>
        <v>5268.0717910044759</v>
      </c>
      <c r="V34" s="126">
        <f t="shared" si="4"/>
        <v>5268.0717910044759</v>
      </c>
    </row>
    <row r="35" spans="2:22">
      <c r="B35" s="100">
        <f>B34+1</f>
        <v>19</v>
      </c>
      <c r="C35" s="102" t="s">
        <v>324</v>
      </c>
      <c r="D35" s="20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2:22">
      <c r="B36" s="100">
        <f>B35+1</f>
        <v>20</v>
      </c>
      <c r="C36" s="102" t="s">
        <v>325</v>
      </c>
      <c r="D36" s="200" t="s">
        <v>323</v>
      </c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2:22" ht="15">
      <c r="B37" s="99" t="s">
        <v>326</v>
      </c>
      <c r="C37" s="101" t="s">
        <v>327</v>
      </c>
      <c r="D37" s="20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2:22" ht="28.5">
      <c r="B38" s="100">
        <f>B36+1</f>
        <v>21</v>
      </c>
      <c r="C38" s="102" t="s">
        <v>386</v>
      </c>
      <c r="D38" s="200" t="s">
        <v>328</v>
      </c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2:22" ht="28.5">
      <c r="B39" s="100">
        <f>B38+1</f>
        <v>22</v>
      </c>
      <c r="C39" s="102" t="s">
        <v>329</v>
      </c>
      <c r="D39" s="200" t="s">
        <v>328</v>
      </c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2:22" ht="28.5">
      <c r="B40" s="100">
        <f t="shared" ref="B40:B47" si="5">B39+1</f>
        <v>23</v>
      </c>
      <c r="C40" s="102" t="s">
        <v>385</v>
      </c>
      <c r="D40" s="200" t="s">
        <v>328</v>
      </c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2:22">
      <c r="B41" s="100">
        <f t="shared" si="5"/>
        <v>24</v>
      </c>
      <c r="C41" s="102" t="s">
        <v>330</v>
      </c>
      <c r="D41" s="200" t="s">
        <v>328</v>
      </c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2:22">
      <c r="B42" s="100">
        <f t="shared" si="5"/>
        <v>25</v>
      </c>
      <c r="C42" s="102" t="s">
        <v>331</v>
      </c>
      <c r="D42" s="200" t="s">
        <v>328</v>
      </c>
      <c r="E42" s="215">
        <v>4311</v>
      </c>
      <c r="F42" s="215">
        <v>4826</v>
      </c>
      <c r="G42" s="215">
        <v>5108</v>
      </c>
      <c r="H42" s="216">
        <v>3733</v>
      </c>
      <c r="I42" s="216">
        <v>3690</v>
      </c>
      <c r="J42" s="216">
        <v>3724</v>
      </c>
      <c r="K42" s="215">
        <v>4244</v>
      </c>
      <c r="L42" s="215">
        <v>4450</v>
      </c>
      <c r="M42" s="215">
        <v>4265</v>
      </c>
      <c r="N42" s="215">
        <v>4462</v>
      </c>
      <c r="O42" s="215">
        <v>3863</v>
      </c>
      <c r="P42" s="215">
        <v>4034</v>
      </c>
      <c r="Q42" s="217">
        <v>4147</v>
      </c>
      <c r="R42" s="217">
        <v>4191</v>
      </c>
      <c r="S42" s="217">
        <v>4214</v>
      </c>
      <c r="T42" s="217">
        <v>4043</v>
      </c>
      <c r="U42" s="217">
        <v>4210</v>
      </c>
      <c r="V42" s="217">
        <v>3435</v>
      </c>
    </row>
    <row r="43" spans="2:22" ht="28.5">
      <c r="B43" s="100">
        <f t="shared" si="5"/>
        <v>26</v>
      </c>
      <c r="C43" s="102" t="s">
        <v>384</v>
      </c>
      <c r="D43" s="200" t="s">
        <v>328</v>
      </c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2:22">
      <c r="B44" s="100">
        <f t="shared" si="5"/>
        <v>27</v>
      </c>
      <c r="C44" s="102" t="s">
        <v>332</v>
      </c>
      <c r="D44" s="200" t="s">
        <v>328</v>
      </c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2:22" ht="28.5">
      <c r="B45" s="100">
        <f t="shared" si="5"/>
        <v>28</v>
      </c>
      <c r="C45" s="102" t="s">
        <v>333</v>
      </c>
      <c r="D45" s="200" t="s">
        <v>328</v>
      </c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2:22" ht="28.5">
      <c r="B46" s="100">
        <f t="shared" si="5"/>
        <v>29</v>
      </c>
      <c r="C46" s="102" t="s">
        <v>333</v>
      </c>
      <c r="D46" s="200" t="s">
        <v>328</v>
      </c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2:22">
      <c r="B47" s="100">
        <f t="shared" si="5"/>
        <v>30</v>
      </c>
      <c r="C47" s="102" t="s">
        <v>334</v>
      </c>
      <c r="D47" s="200" t="s">
        <v>328</v>
      </c>
      <c r="E47" s="216">
        <v>3756</v>
      </c>
      <c r="F47" s="216">
        <v>4365</v>
      </c>
      <c r="G47" s="216">
        <v>4270</v>
      </c>
      <c r="H47" s="216">
        <v>3798</v>
      </c>
      <c r="I47" s="216">
        <v>3577</v>
      </c>
      <c r="J47" s="216">
        <v>3337</v>
      </c>
      <c r="K47" s="216">
        <v>3987</v>
      </c>
      <c r="L47" s="216">
        <v>4254</v>
      </c>
      <c r="M47" s="216">
        <v>3996</v>
      </c>
      <c r="N47" s="216">
        <v>3913</v>
      </c>
      <c r="O47" s="216">
        <v>3829</v>
      </c>
      <c r="P47" s="216">
        <v>3627</v>
      </c>
      <c r="Q47" s="219">
        <v>3594</v>
      </c>
      <c r="R47" s="219">
        <v>3752</v>
      </c>
      <c r="S47" s="219">
        <v>3575</v>
      </c>
      <c r="T47" s="219">
        <v>3588</v>
      </c>
      <c r="U47" s="219">
        <v>3342</v>
      </c>
      <c r="V47" s="219">
        <v>3048</v>
      </c>
    </row>
    <row r="49" spans="2:3" ht="15">
      <c r="B49" s="98" t="s">
        <v>235</v>
      </c>
    </row>
    <row r="50" spans="2:3">
      <c r="B50" s="97">
        <v>1</v>
      </c>
      <c r="C50" s="96" t="s">
        <v>335</v>
      </c>
    </row>
    <row r="51" spans="2:3">
      <c r="B51" s="97">
        <f>B50+1</f>
        <v>2</v>
      </c>
      <c r="C51" s="96" t="s">
        <v>336</v>
      </c>
    </row>
    <row r="52" spans="2:3">
      <c r="B52" s="97">
        <f>B51+1</f>
        <v>3</v>
      </c>
      <c r="C52" s="96" t="s">
        <v>337</v>
      </c>
    </row>
    <row r="53" spans="2:3">
      <c r="B53" s="97">
        <f>B52+1</f>
        <v>4</v>
      </c>
      <c r="C53" s="96" t="s">
        <v>338</v>
      </c>
    </row>
  </sheetData>
  <mergeCells count="8">
    <mergeCell ref="B4:V4"/>
    <mergeCell ref="B3:V3"/>
    <mergeCell ref="B2:V2"/>
    <mergeCell ref="E6:P6"/>
    <mergeCell ref="Q6:V6"/>
    <mergeCell ref="B6:B7"/>
    <mergeCell ref="C6:C7"/>
    <mergeCell ref="D6:D7"/>
  </mergeCells>
  <phoneticPr fontId="13" type="noConversion"/>
  <pageMargins left="0.2" right="0.2" top="0.25" bottom="0.25" header="0.3" footer="0.3"/>
  <pageSetup paperSize="9" scale="53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53"/>
  <sheetViews>
    <sheetView view="pageBreakPreview" zoomScale="69" zoomScaleSheetLayoutView="69" workbookViewId="0">
      <selection activeCell="H10" sqref="H10"/>
    </sheetView>
  </sheetViews>
  <sheetFormatPr defaultRowHeight="12.75"/>
  <cols>
    <col min="2" max="2" width="8.85546875" customWidth="1"/>
    <col min="3" max="3" width="65.28515625" customWidth="1"/>
  </cols>
  <sheetData>
    <row r="2" spans="2:22" ht="16.5">
      <c r="B2" s="309" t="s">
        <v>433</v>
      </c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</row>
    <row r="3" spans="2:22" ht="16.5">
      <c r="B3" s="309" t="s">
        <v>467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</row>
    <row r="4" spans="2:22" ht="16.5">
      <c r="B4" s="310" t="s">
        <v>340</v>
      </c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</row>
    <row r="6" spans="2:22" ht="15">
      <c r="B6" s="308" t="s">
        <v>189</v>
      </c>
      <c r="C6" s="308" t="s">
        <v>16</v>
      </c>
      <c r="D6" s="308" t="s">
        <v>37</v>
      </c>
      <c r="E6" s="308" t="s">
        <v>397</v>
      </c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308" t="s">
        <v>398</v>
      </c>
      <c r="R6" s="308"/>
      <c r="S6" s="308"/>
      <c r="T6" s="308"/>
      <c r="U6" s="308"/>
      <c r="V6" s="308"/>
    </row>
    <row r="7" spans="2:22" ht="15">
      <c r="B7" s="308"/>
      <c r="C7" s="308"/>
      <c r="D7" s="308"/>
      <c r="E7" s="99" t="s">
        <v>139</v>
      </c>
      <c r="F7" s="99" t="s">
        <v>140</v>
      </c>
      <c r="G7" s="99" t="s">
        <v>141</v>
      </c>
      <c r="H7" s="99" t="s">
        <v>142</v>
      </c>
      <c r="I7" s="99" t="s">
        <v>143</v>
      </c>
      <c r="J7" s="99" t="s">
        <v>144</v>
      </c>
      <c r="K7" s="99" t="s">
        <v>145</v>
      </c>
      <c r="L7" s="99" t="s">
        <v>146</v>
      </c>
      <c r="M7" s="99" t="s">
        <v>147</v>
      </c>
      <c r="N7" s="99" t="s">
        <v>148</v>
      </c>
      <c r="O7" s="99" t="s">
        <v>149</v>
      </c>
      <c r="P7" s="99" t="s">
        <v>150</v>
      </c>
      <c r="Q7" s="99" t="s">
        <v>139</v>
      </c>
      <c r="R7" s="99" t="s">
        <v>140</v>
      </c>
      <c r="S7" s="99" t="s">
        <v>141</v>
      </c>
      <c r="T7" s="99" t="s">
        <v>142</v>
      </c>
      <c r="U7" s="99" t="s">
        <v>143</v>
      </c>
      <c r="V7" s="99" t="s">
        <v>144</v>
      </c>
    </row>
    <row r="8" spans="2:22" ht="15">
      <c r="B8" s="99" t="s">
        <v>65</v>
      </c>
      <c r="C8" s="101" t="s">
        <v>297</v>
      </c>
      <c r="D8" s="10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</row>
    <row r="9" spans="2:22" ht="14.25">
      <c r="B9" s="100">
        <v>1</v>
      </c>
      <c r="C9" s="30" t="s">
        <v>434</v>
      </c>
      <c r="D9" s="174" t="s">
        <v>435</v>
      </c>
      <c r="E9" s="195">
        <v>108.16999999999997</v>
      </c>
      <c r="F9" s="195">
        <v>134.77799999999999</v>
      </c>
      <c r="G9" s="195">
        <v>109.75499999999998</v>
      </c>
      <c r="H9" s="195">
        <v>103.90899999999998</v>
      </c>
      <c r="I9" s="195">
        <v>140.607</v>
      </c>
      <c r="J9" s="195">
        <v>106.41</v>
      </c>
      <c r="K9" s="171">
        <v>115.70299999999999</v>
      </c>
      <c r="L9" s="171">
        <v>95.779999999999973</v>
      </c>
      <c r="M9" s="171">
        <v>81.048999999999978</v>
      </c>
      <c r="N9" s="171">
        <v>75.513999999999982</v>
      </c>
      <c r="O9" s="171">
        <v>87.664000000000001</v>
      </c>
      <c r="P9" s="171">
        <v>86.692999999999984</v>
      </c>
      <c r="Q9" s="171">
        <v>70.605999999999966</v>
      </c>
      <c r="R9" s="171">
        <v>85.415999999999954</v>
      </c>
      <c r="S9" s="171">
        <v>46.626999999999981</v>
      </c>
      <c r="T9" s="171">
        <v>53.729999999999983</v>
      </c>
      <c r="U9" s="171">
        <v>54.568999999999981</v>
      </c>
      <c r="V9" s="171">
        <v>54.568999999999981</v>
      </c>
    </row>
    <row r="10" spans="2:22" ht="14.25">
      <c r="B10" s="100">
        <v>2</v>
      </c>
      <c r="C10" s="30" t="s">
        <v>299</v>
      </c>
      <c r="D10" s="174" t="s">
        <v>436</v>
      </c>
      <c r="E10" s="199">
        <v>0.83871918500511033</v>
      </c>
      <c r="F10" s="199">
        <v>1.0501561816346567</v>
      </c>
      <c r="G10" s="199">
        <v>0.85638505276381482</v>
      </c>
      <c r="H10" s="199">
        <v>0.83870441688011121</v>
      </c>
      <c r="I10" s="199">
        <v>1.0908950204532315</v>
      </c>
      <c r="J10" s="199">
        <v>0.80929958110599176</v>
      </c>
      <c r="K10" s="172">
        <v>0.95545713087340167</v>
      </c>
      <c r="L10" s="172">
        <v>0.79638460750728857</v>
      </c>
      <c r="M10" s="172">
        <v>0.67307806321628783</v>
      </c>
      <c r="N10" s="172">
        <v>0.51161533116295932</v>
      </c>
      <c r="O10" s="172">
        <v>0.61055065555199994</v>
      </c>
      <c r="P10" s="172">
        <v>0.59238982736299983</v>
      </c>
      <c r="Q10" s="172">
        <v>0.52651217634181147</v>
      </c>
      <c r="R10" s="172">
        <v>0.67609820951700927</v>
      </c>
      <c r="S10" s="172">
        <v>0.31251582667688838</v>
      </c>
      <c r="T10" s="172">
        <v>0.43615686968758488</v>
      </c>
      <c r="U10" s="172">
        <v>0.44459129344413401</v>
      </c>
      <c r="V10" s="172">
        <v>0.44459129344413401</v>
      </c>
    </row>
    <row r="11" spans="2:22" ht="15">
      <c r="B11" s="99" t="s">
        <v>69</v>
      </c>
      <c r="C11" s="101" t="s">
        <v>301</v>
      </c>
      <c r="D11" s="174"/>
      <c r="E11" s="202"/>
      <c r="F11" s="202"/>
      <c r="G11" s="202"/>
      <c r="H11" s="202"/>
      <c r="I11" s="202"/>
      <c r="J11" s="202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</row>
    <row r="12" spans="2:22" ht="14.25">
      <c r="B12" s="100">
        <v>3</v>
      </c>
      <c r="C12" s="30" t="s">
        <v>437</v>
      </c>
      <c r="D12" s="174" t="s">
        <v>435</v>
      </c>
      <c r="E12" s="195">
        <v>104.277</v>
      </c>
      <c r="F12" s="195">
        <v>40</v>
      </c>
      <c r="G12" s="195">
        <v>83.662000000000006</v>
      </c>
      <c r="H12" s="195">
        <v>88.009999999999991</v>
      </c>
      <c r="I12" s="195">
        <v>62.078000000000003</v>
      </c>
      <c r="J12" s="195">
        <v>84</v>
      </c>
      <c r="K12" s="171">
        <v>20</v>
      </c>
      <c r="L12" s="171">
        <v>20</v>
      </c>
      <c r="M12" s="171">
        <v>109.23699999999999</v>
      </c>
      <c r="N12" s="171">
        <v>64.611000000000004</v>
      </c>
      <c r="O12" s="171">
        <v>159.15600000000001</v>
      </c>
      <c r="P12" s="171">
        <v>266.82400000000001</v>
      </c>
      <c r="Q12" s="171">
        <v>152.58799999999999</v>
      </c>
      <c r="R12" s="171">
        <v>157.54900000000001</v>
      </c>
      <c r="S12" s="171">
        <v>40</v>
      </c>
      <c r="T12" s="171">
        <v>0.83899999999999997</v>
      </c>
      <c r="U12" s="171"/>
      <c r="V12" s="171"/>
    </row>
    <row r="13" spans="2:22" ht="14.25">
      <c r="B13" s="100">
        <v>4</v>
      </c>
      <c r="C13" s="30" t="s">
        <v>438</v>
      </c>
      <c r="D13" s="174" t="s">
        <v>435</v>
      </c>
      <c r="E13" s="202"/>
      <c r="F13" s="202"/>
      <c r="G13" s="202"/>
      <c r="H13" s="202"/>
      <c r="I13" s="202"/>
      <c r="J13" s="202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</row>
    <row r="14" spans="2:22" ht="14.25">
      <c r="B14" s="100">
        <v>5</v>
      </c>
      <c r="C14" s="30" t="s">
        <v>439</v>
      </c>
      <c r="D14" s="174" t="s">
        <v>435</v>
      </c>
      <c r="E14" s="202"/>
      <c r="F14" s="202"/>
      <c r="G14" s="202"/>
      <c r="H14" s="202"/>
      <c r="I14" s="202"/>
      <c r="J14" s="202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</row>
    <row r="15" spans="2:22" ht="14.25">
      <c r="B15" s="100">
        <v>6</v>
      </c>
      <c r="C15" s="30" t="s">
        <v>304</v>
      </c>
      <c r="D15" s="174" t="s">
        <v>435</v>
      </c>
      <c r="E15" s="202"/>
      <c r="F15" s="202"/>
      <c r="G15" s="202"/>
      <c r="H15" s="202"/>
      <c r="I15" s="202"/>
      <c r="J15" s="202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</row>
    <row r="16" spans="2:22" ht="14.25">
      <c r="B16" s="100">
        <v>7</v>
      </c>
      <c r="C16" s="30" t="s">
        <v>440</v>
      </c>
      <c r="D16" s="174" t="s">
        <v>435</v>
      </c>
      <c r="E16" s="202"/>
      <c r="F16" s="202"/>
      <c r="G16" s="202"/>
      <c r="H16" s="202"/>
      <c r="I16" s="202"/>
      <c r="J16" s="202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</row>
    <row r="17" spans="2:22" ht="15">
      <c r="B17" s="99" t="s">
        <v>70</v>
      </c>
      <c r="C17" s="101" t="s">
        <v>306</v>
      </c>
      <c r="D17" s="174"/>
      <c r="E17" s="202"/>
      <c r="F17" s="202"/>
      <c r="G17" s="202"/>
      <c r="H17" s="202"/>
      <c r="I17" s="202"/>
      <c r="J17" s="202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</row>
    <row r="18" spans="2:22" ht="14.25">
      <c r="B18" s="100">
        <v>8</v>
      </c>
      <c r="C18" s="30" t="s">
        <v>441</v>
      </c>
      <c r="D18" s="174" t="s">
        <v>436</v>
      </c>
      <c r="E18" s="199">
        <v>0.93987455799999997</v>
      </c>
      <c r="F18" s="199">
        <v>0.39591788999999999</v>
      </c>
      <c r="G18" s="199">
        <v>0.73021489100000003</v>
      </c>
      <c r="H18" s="199">
        <v>0.67572989100000003</v>
      </c>
      <c r="I18" s="199">
        <v>0.56288959499999991</v>
      </c>
      <c r="J18" s="199">
        <v>0.768871317</v>
      </c>
      <c r="K18" s="172">
        <v>0.19796729499999999</v>
      </c>
      <c r="L18" s="172">
        <v>0.19796749999999999</v>
      </c>
      <c r="M18" s="172">
        <v>0.7696989609999999</v>
      </c>
      <c r="N18" s="172">
        <v>0.54646110000000003</v>
      </c>
      <c r="O18" s="172">
        <v>1.195729</v>
      </c>
      <c r="P18" s="172">
        <v>2.2795712130000001</v>
      </c>
      <c r="Q18" s="172">
        <v>1.244931301</v>
      </c>
      <c r="R18" s="172">
        <v>1.2508975760000001</v>
      </c>
      <c r="S18" s="172">
        <v>0.387437007</v>
      </c>
      <c r="T18" s="172">
        <v>8.4343939999999996E-3</v>
      </c>
      <c r="U18" s="172">
        <v>0</v>
      </c>
      <c r="V18" s="172">
        <v>0</v>
      </c>
    </row>
    <row r="19" spans="2:22" ht="14.25">
      <c r="B19" s="100">
        <v>9</v>
      </c>
      <c r="C19" s="30" t="s">
        <v>442</v>
      </c>
      <c r="D19" s="174" t="s">
        <v>436</v>
      </c>
      <c r="E19" s="202"/>
      <c r="F19" s="202"/>
      <c r="G19" s="202"/>
      <c r="H19" s="202"/>
      <c r="I19" s="202"/>
      <c r="J19" s="202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</row>
    <row r="20" spans="2:22" ht="14.25">
      <c r="B20" s="100">
        <v>10</v>
      </c>
      <c r="C20" s="30" t="s">
        <v>309</v>
      </c>
      <c r="D20" s="174" t="s">
        <v>436</v>
      </c>
      <c r="E20" s="202"/>
      <c r="F20" s="202"/>
      <c r="G20" s="202"/>
      <c r="H20" s="202"/>
      <c r="I20" s="202"/>
      <c r="J20" s="202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</row>
    <row r="21" spans="2:22" ht="14.25">
      <c r="B21" s="100">
        <v>11</v>
      </c>
      <c r="C21" s="30" t="s">
        <v>310</v>
      </c>
      <c r="D21" s="174" t="s">
        <v>436</v>
      </c>
      <c r="E21" s="199">
        <v>0.93987455799999997</v>
      </c>
      <c r="F21" s="199">
        <v>0.39591788999999999</v>
      </c>
      <c r="G21" s="199">
        <v>0.73021489100000003</v>
      </c>
      <c r="H21" s="199">
        <v>0.67572989100000003</v>
      </c>
      <c r="I21" s="199">
        <v>0.56288959499999991</v>
      </c>
      <c r="J21" s="199">
        <v>0.768871317</v>
      </c>
      <c r="K21" s="172">
        <v>0.19796729499999999</v>
      </c>
      <c r="L21" s="172">
        <v>0.19796749999999999</v>
      </c>
      <c r="M21" s="172">
        <v>0.7696989609999999</v>
      </c>
      <c r="N21" s="172">
        <v>0.54646110000000003</v>
      </c>
      <c r="O21" s="172">
        <v>1.195729</v>
      </c>
      <c r="P21" s="172">
        <v>2.2795712130000001</v>
      </c>
      <c r="Q21" s="172">
        <v>1.244931301</v>
      </c>
      <c r="R21" s="172">
        <v>1.2508975760000001</v>
      </c>
      <c r="S21" s="172">
        <v>0.387437007</v>
      </c>
      <c r="T21" s="172">
        <v>8.4343939999999996E-3</v>
      </c>
      <c r="U21" s="172">
        <v>0</v>
      </c>
      <c r="V21" s="172">
        <v>0</v>
      </c>
    </row>
    <row r="22" spans="2:22" ht="15">
      <c r="B22" s="99" t="s">
        <v>311</v>
      </c>
      <c r="C22" s="101" t="s">
        <v>312</v>
      </c>
      <c r="D22" s="174"/>
      <c r="E22" s="202"/>
      <c r="F22" s="202"/>
      <c r="G22" s="202"/>
      <c r="H22" s="202"/>
      <c r="I22" s="202"/>
      <c r="J22" s="202"/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</row>
    <row r="23" spans="2:22" ht="14.25">
      <c r="B23" s="100">
        <v>12</v>
      </c>
      <c r="C23" s="30" t="s">
        <v>313</v>
      </c>
      <c r="D23" s="174"/>
      <c r="E23" s="202"/>
      <c r="F23" s="202"/>
      <c r="G23" s="202"/>
      <c r="H23" s="202"/>
      <c r="I23" s="202"/>
      <c r="J23" s="202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</row>
    <row r="24" spans="2:22" ht="14.25">
      <c r="B24" s="100"/>
      <c r="C24" s="30" t="s">
        <v>314</v>
      </c>
      <c r="D24" s="174" t="s">
        <v>436</v>
      </c>
      <c r="E24" s="202"/>
      <c r="F24" s="202"/>
      <c r="G24" s="202"/>
      <c r="H24" s="202"/>
      <c r="I24" s="202"/>
      <c r="J24" s="202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</row>
    <row r="25" spans="2:22" ht="14.25">
      <c r="B25" s="100"/>
      <c r="C25" s="30" t="s">
        <v>315</v>
      </c>
      <c r="D25" s="174" t="s">
        <v>436</v>
      </c>
      <c r="E25" s="202"/>
      <c r="F25" s="202"/>
      <c r="G25" s="202"/>
      <c r="H25" s="202"/>
      <c r="I25" s="202"/>
      <c r="J25" s="202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</row>
    <row r="26" spans="2:22" ht="14.25">
      <c r="B26" s="100"/>
      <c r="C26" s="30" t="s">
        <v>316</v>
      </c>
      <c r="D26" s="174" t="s">
        <v>436</v>
      </c>
      <c r="E26" s="202"/>
      <c r="F26" s="202"/>
      <c r="G26" s="202"/>
      <c r="H26" s="202"/>
      <c r="I26" s="202"/>
      <c r="J26" s="202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</row>
    <row r="27" spans="2:22" ht="14.25">
      <c r="B27" s="100"/>
      <c r="C27" s="30" t="s">
        <v>7</v>
      </c>
      <c r="D27" s="174" t="s">
        <v>436</v>
      </c>
      <c r="E27" s="202"/>
      <c r="F27" s="202"/>
      <c r="G27" s="202"/>
      <c r="H27" s="202"/>
      <c r="I27" s="202"/>
      <c r="J27" s="202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</row>
    <row r="28" spans="2:22" ht="14.25">
      <c r="B28" s="100">
        <v>13</v>
      </c>
      <c r="C28" s="30" t="s">
        <v>443</v>
      </c>
      <c r="D28" s="174" t="s">
        <v>436</v>
      </c>
      <c r="E28" s="202"/>
      <c r="F28" s="202"/>
      <c r="G28" s="202"/>
      <c r="H28" s="202"/>
      <c r="I28" s="202"/>
      <c r="J28" s="202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</row>
    <row r="29" spans="2:22" ht="14.25">
      <c r="B29" s="100">
        <v>14</v>
      </c>
      <c r="C29" s="30" t="s">
        <v>318</v>
      </c>
      <c r="D29" s="174" t="s">
        <v>436</v>
      </c>
      <c r="E29" s="202"/>
      <c r="F29" s="202"/>
      <c r="G29" s="202"/>
      <c r="H29" s="202"/>
      <c r="I29" s="202"/>
      <c r="J29" s="202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</row>
    <row r="30" spans="2:22" ht="21.75" customHeight="1">
      <c r="B30" s="100">
        <v>15</v>
      </c>
      <c r="C30" s="30" t="s">
        <v>444</v>
      </c>
      <c r="D30" s="174" t="s">
        <v>436</v>
      </c>
      <c r="E30" s="202"/>
      <c r="F30" s="202"/>
      <c r="G30" s="202"/>
      <c r="H30" s="202"/>
      <c r="I30" s="202"/>
      <c r="J30" s="202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</row>
    <row r="31" spans="2:22" ht="14.25">
      <c r="B31" s="100">
        <v>16</v>
      </c>
      <c r="C31" s="30" t="s">
        <v>319</v>
      </c>
      <c r="D31" s="174" t="s">
        <v>436</v>
      </c>
      <c r="E31" s="199">
        <v>0</v>
      </c>
      <c r="F31" s="199">
        <v>0</v>
      </c>
      <c r="G31" s="199">
        <v>0</v>
      </c>
      <c r="H31" s="199">
        <v>0</v>
      </c>
      <c r="I31" s="199">
        <v>0</v>
      </c>
      <c r="J31" s="199">
        <v>0</v>
      </c>
      <c r="K31" s="172">
        <v>0</v>
      </c>
      <c r="L31" s="172">
        <v>0</v>
      </c>
      <c r="M31" s="172">
        <v>0</v>
      </c>
      <c r="N31" s="172">
        <v>0</v>
      </c>
      <c r="O31" s="172">
        <v>0</v>
      </c>
      <c r="P31" s="172">
        <v>0</v>
      </c>
      <c r="Q31" s="172">
        <v>0</v>
      </c>
      <c r="R31" s="172">
        <v>0</v>
      </c>
      <c r="S31" s="172">
        <v>0</v>
      </c>
      <c r="T31" s="172">
        <v>0</v>
      </c>
      <c r="U31" s="172">
        <v>0</v>
      </c>
      <c r="V31" s="172">
        <v>0</v>
      </c>
    </row>
    <row r="32" spans="2:22" ht="14.25">
      <c r="B32" s="100">
        <v>17</v>
      </c>
      <c r="C32" s="30" t="s">
        <v>445</v>
      </c>
      <c r="D32" s="174" t="s">
        <v>436</v>
      </c>
      <c r="E32" s="199">
        <v>0.93987455799999997</v>
      </c>
      <c r="F32" s="199">
        <v>0.39591788999999999</v>
      </c>
      <c r="G32" s="199">
        <v>0.73021489100000003</v>
      </c>
      <c r="H32" s="199">
        <v>0.67572989100000003</v>
      </c>
      <c r="I32" s="199">
        <v>0.56288959499999991</v>
      </c>
      <c r="J32" s="199">
        <v>0.768871317</v>
      </c>
      <c r="K32" s="172">
        <v>0.19796729499999999</v>
      </c>
      <c r="L32" s="172">
        <v>0.19796749999999999</v>
      </c>
      <c r="M32" s="172">
        <v>0.7696989609999999</v>
      </c>
      <c r="N32" s="172">
        <v>0.54646110000000003</v>
      </c>
      <c r="O32" s="172">
        <v>1.195729</v>
      </c>
      <c r="P32" s="172">
        <v>2.2795712130000001</v>
      </c>
      <c r="Q32" s="172">
        <v>1.244931301</v>
      </c>
      <c r="R32" s="172">
        <v>1.2508975760000001</v>
      </c>
      <c r="S32" s="172">
        <v>0.387437007</v>
      </c>
      <c r="T32" s="172">
        <v>8.4343939999999996E-3</v>
      </c>
      <c r="U32" s="172">
        <v>0</v>
      </c>
      <c r="V32" s="172">
        <v>0</v>
      </c>
    </row>
    <row r="33" spans="2:22" ht="15">
      <c r="B33" s="99" t="s">
        <v>321</v>
      </c>
      <c r="C33" s="101" t="s">
        <v>185</v>
      </c>
      <c r="D33" s="174"/>
      <c r="E33" s="195"/>
      <c r="F33" s="195"/>
      <c r="G33" s="195"/>
      <c r="H33" s="195"/>
      <c r="I33" s="195"/>
      <c r="J33" s="195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171"/>
    </row>
    <row r="34" spans="2:22" ht="14.25">
      <c r="B34" s="100">
        <v>18</v>
      </c>
      <c r="C34" s="30" t="s">
        <v>446</v>
      </c>
      <c r="D34" s="174" t="s">
        <v>447</v>
      </c>
      <c r="E34" s="195">
        <v>83719.409688303916</v>
      </c>
      <c r="F34" s="195">
        <v>82737.762855431269</v>
      </c>
      <c r="G34" s="195">
        <v>82030.015136405535</v>
      </c>
      <c r="H34" s="195">
        <v>78910.077057514442</v>
      </c>
      <c r="I34" s="195">
        <v>81593.833557156744</v>
      </c>
      <c r="J34" s="195">
        <v>82882.773914499878</v>
      </c>
      <c r="K34" s="171">
        <v>84996.236330324449</v>
      </c>
      <c r="L34" s="171">
        <v>85882.890612134113</v>
      </c>
      <c r="M34" s="171">
        <v>75821.50154064344</v>
      </c>
      <c r="N34" s="171">
        <v>75509.468771665255</v>
      </c>
      <c r="O34" s="171">
        <v>73182.062051373476</v>
      </c>
      <c r="P34" s="171">
        <v>81239.686927729068</v>
      </c>
      <c r="Q34" s="171">
        <v>79367.880737914631</v>
      </c>
      <c r="R34" s="171">
        <v>79311.661577470411</v>
      </c>
      <c r="S34" s="171">
        <v>80800.770392243576</v>
      </c>
      <c r="T34" s="171">
        <v>81473.229065510648</v>
      </c>
      <c r="U34" s="171">
        <v>81473.234518524099</v>
      </c>
      <c r="V34" s="171">
        <v>81473.234518524099</v>
      </c>
    </row>
    <row r="35" spans="2:22" ht="14.25">
      <c r="B35" s="100">
        <v>19</v>
      </c>
      <c r="C35" s="30" t="s">
        <v>324</v>
      </c>
      <c r="D35" s="174"/>
      <c r="E35" s="171"/>
      <c r="F35" s="171"/>
      <c r="G35" s="171"/>
      <c r="H35" s="171"/>
      <c r="I35" s="171"/>
      <c r="J35" s="171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</row>
    <row r="36" spans="2:22" ht="14.25">
      <c r="B36" s="100">
        <v>20</v>
      </c>
      <c r="C36" s="30" t="s">
        <v>448</v>
      </c>
      <c r="D36" s="174" t="s">
        <v>447</v>
      </c>
      <c r="E36" s="171"/>
      <c r="F36" s="171"/>
      <c r="G36" s="171"/>
      <c r="H36" s="171"/>
      <c r="I36" s="171"/>
      <c r="J36" s="171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</row>
    <row r="37" spans="2:22" ht="15">
      <c r="B37" s="99" t="s">
        <v>326</v>
      </c>
      <c r="C37" s="101" t="s">
        <v>327</v>
      </c>
      <c r="D37" s="174"/>
      <c r="E37" s="171"/>
      <c r="F37" s="171"/>
      <c r="G37" s="171"/>
      <c r="H37" s="171"/>
      <c r="I37" s="171"/>
      <c r="J37" s="171"/>
      <c r="K37" s="173"/>
      <c r="L37" s="173"/>
      <c r="M37" s="173"/>
      <c r="N37" s="173"/>
      <c r="O37" s="173"/>
      <c r="P37" s="173"/>
      <c r="Q37" s="173"/>
      <c r="R37" s="173"/>
      <c r="S37" s="173"/>
      <c r="T37" s="173"/>
      <c r="U37" s="173"/>
      <c r="V37" s="173"/>
    </row>
    <row r="38" spans="2:22" ht="14.25">
      <c r="B38" s="100">
        <v>21</v>
      </c>
      <c r="C38" s="30" t="s">
        <v>449</v>
      </c>
      <c r="D38" s="174" t="s">
        <v>450</v>
      </c>
      <c r="E38" s="171"/>
      <c r="F38" s="171"/>
      <c r="G38" s="171"/>
      <c r="H38" s="171"/>
      <c r="I38" s="171"/>
      <c r="J38" s="171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</row>
    <row r="39" spans="2:22" ht="14.25">
      <c r="B39" s="100">
        <v>22</v>
      </c>
      <c r="C39" s="30" t="s">
        <v>451</v>
      </c>
      <c r="D39" s="174" t="s">
        <v>450</v>
      </c>
      <c r="E39" s="171"/>
      <c r="F39" s="171"/>
      <c r="G39" s="171"/>
      <c r="H39" s="171"/>
      <c r="I39" s="171"/>
      <c r="J39" s="171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</row>
    <row r="40" spans="2:22" ht="14.25">
      <c r="B40" s="100">
        <v>23</v>
      </c>
      <c r="C40" s="30" t="s">
        <v>452</v>
      </c>
      <c r="D40" s="174" t="s">
        <v>450</v>
      </c>
      <c r="E40" s="171"/>
      <c r="F40" s="171"/>
      <c r="G40" s="171"/>
      <c r="H40" s="171"/>
      <c r="I40" s="171"/>
      <c r="J40" s="171"/>
      <c r="K40" s="173"/>
      <c r="L40" s="173"/>
      <c r="M40" s="173"/>
      <c r="N40" s="173"/>
      <c r="O40" s="173"/>
      <c r="P40" s="173"/>
      <c r="Q40" s="173"/>
      <c r="R40" s="173"/>
      <c r="S40" s="173"/>
      <c r="T40" s="173"/>
      <c r="U40" s="173"/>
      <c r="V40" s="173"/>
    </row>
    <row r="41" spans="2:22" ht="14.25">
      <c r="B41" s="100">
        <v>24</v>
      </c>
      <c r="C41" s="30" t="s">
        <v>453</v>
      </c>
      <c r="D41" s="174" t="s">
        <v>450</v>
      </c>
      <c r="E41" s="171"/>
      <c r="F41" s="171"/>
      <c r="G41" s="171"/>
      <c r="H41" s="171"/>
      <c r="I41" s="171"/>
      <c r="J41" s="171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73"/>
      <c r="V41" s="173"/>
    </row>
    <row r="42" spans="2:22" ht="14.25">
      <c r="B42" s="100">
        <v>25</v>
      </c>
      <c r="C42" s="30" t="s">
        <v>454</v>
      </c>
      <c r="D42" s="174" t="s">
        <v>450</v>
      </c>
      <c r="E42" s="171"/>
      <c r="F42" s="171"/>
      <c r="G42" s="171"/>
      <c r="H42" s="171"/>
      <c r="I42" s="171"/>
      <c r="J42" s="171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173"/>
      <c r="V42" s="173"/>
    </row>
    <row r="43" spans="2:22" ht="14.25">
      <c r="B43" s="100">
        <v>26</v>
      </c>
      <c r="C43" s="30" t="s">
        <v>455</v>
      </c>
      <c r="D43" s="174" t="s">
        <v>450</v>
      </c>
      <c r="E43" s="171"/>
      <c r="F43" s="171"/>
      <c r="G43" s="171"/>
      <c r="H43" s="171"/>
      <c r="I43" s="171"/>
      <c r="J43" s="171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</row>
    <row r="44" spans="2:22" ht="14.25">
      <c r="B44" s="100">
        <v>27</v>
      </c>
      <c r="C44" s="30" t="s">
        <v>456</v>
      </c>
      <c r="D44" s="174" t="s">
        <v>450</v>
      </c>
      <c r="E44" s="171"/>
      <c r="F44" s="171"/>
      <c r="G44" s="171"/>
      <c r="H44" s="171"/>
      <c r="I44" s="171"/>
      <c r="J44" s="171"/>
      <c r="K44" s="173"/>
      <c r="L44" s="173"/>
      <c r="M44" s="173"/>
      <c r="N44" s="173"/>
      <c r="O44" s="173"/>
      <c r="P44" s="173"/>
      <c r="Q44" s="173"/>
      <c r="R44" s="173"/>
      <c r="S44" s="173"/>
      <c r="T44" s="173"/>
      <c r="U44" s="173"/>
      <c r="V44" s="173"/>
    </row>
    <row r="45" spans="2:22" ht="14.25">
      <c r="B45" s="100">
        <v>28</v>
      </c>
      <c r="C45" s="30" t="s">
        <v>457</v>
      </c>
      <c r="D45" s="174" t="s">
        <v>450</v>
      </c>
      <c r="E45" s="171"/>
      <c r="F45" s="171"/>
      <c r="G45" s="171"/>
      <c r="H45" s="171"/>
      <c r="I45" s="171"/>
      <c r="J45" s="171"/>
      <c r="K45" s="173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</row>
    <row r="46" spans="2:22" ht="14.25">
      <c r="B46" s="100">
        <v>29</v>
      </c>
      <c r="C46" s="30" t="s">
        <v>458</v>
      </c>
      <c r="D46" s="174" t="s">
        <v>450</v>
      </c>
      <c r="E46" s="171"/>
      <c r="F46" s="171"/>
      <c r="G46" s="171"/>
      <c r="H46" s="171"/>
      <c r="I46" s="171"/>
      <c r="J46" s="171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</row>
    <row r="47" spans="2:22" ht="14.25">
      <c r="B47" s="100">
        <v>30</v>
      </c>
      <c r="C47" s="30" t="s">
        <v>459</v>
      </c>
      <c r="D47" s="174" t="s">
        <v>450</v>
      </c>
      <c r="E47" s="311" t="s">
        <v>460</v>
      </c>
      <c r="F47" s="312"/>
      <c r="G47" s="312"/>
      <c r="H47" s="312"/>
      <c r="I47" s="312"/>
      <c r="J47" s="312"/>
      <c r="K47" s="312"/>
      <c r="L47" s="312"/>
      <c r="M47" s="312"/>
      <c r="N47" s="312"/>
      <c r="O47" s="312"/>
      <c r="P47" s="312"/>
      <c r="Q47" s="312"/>
      <c r="R47" s="312"/>
      <c r="S47" s="312"/>
      <c r="T47" s="312"/>
      <c r="U47" s="312"/>
      <c r="V47" s="313"/>
    </row>
    <row r="49" spans="2:3" ht="15">
      <c r="B49" s="98" t="s">
        <v>235</v>
      </c>
    </row>
    <row r="50" spans="2:3" ht="14.25">
      <c r="B50" s="97">
        <v>1</v>
      </c>
      <c r="C50" s="96" t="s">
        <v>335</v>
      </c>
    </row>
    <row r="51" spans="2:3" ht="14.25">
      <c r="B51" s="97">
        <v>2</v>
      </c>
      <c r="C51" s="96" t="s">
        <v>336</v>
      </c>
    </row>
    <row r="52" spans="2:3" ht="14.25">
      <c r="B52" s="97">
        <v>3</v>
      </c>
      <c r="C52" s="96" t="s">
        <v>337</v>
      </c>
    </row>
    <row r="53" spans="2:3" ht="14.25">
      <c r="B53" s="97">
        <v>4</v>
      </c>
      <c r="C53" s="96" t="s">
        <v>338</v>
      </c>
    </row>
  </sheetData>
  <mergeCells count="9">
    <mergeCell ref="B2:V2"/>
    <mergeCell ref="B3:V3"/>
    <mergeCell ref="B4:V4"/>
    <mergeCell ref="Q6:V6"/>
    <mergeCell ref="E47:V47"/>
    <mergeCell ref="B6:B7"/>
    <mergeCell ref="C6:C7"/>
    <mergeCell ref="D6:D7"/>
    <mergeCell ref="E6:P6"/>
  </mergeCells>
  <pageMargins left="0.2" right="0.2" top="0.25" bottom="0.25" header="0.05" footer="0.05"/>
  <pageSetup paperSize="9" scale="57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2:G19"/>
  <sheetViews>
    <sheetView showGridLines="0" view="pageBreakPreview" zoomScaleNormal="91" zoomScaleSheetLayoutView="100" workbookViewId="0">
      <selection activeCell="H10" sqref="H10"/>
    </sheetView>
  </sheetViews>
  <sheetFormatPr defaultColWidth="9.28515625" defaultRowHeight="14.25"/>
  <cols>
    <col min="1" max="1" width="2.42578125" style="96" customWidth="1"/>
    <col min="2" max="2" width="33.7109375" style="96" customWidth="1"/>
    <col min="3" max="3" width="11" style="96" customWidth="1"/>
    <col min="4" max="4" width="11.7109375" style="96" customWidth="1"/>
    <col min="5" max="5" width="13.85546875" style="96" customWidth="1"/>
    <col min="6" max="6" width="12" style="96" customWidth="1"/>
    <col min="7" max="7" width="15" style="96" customWidth="1"/>
    <col min="8" max="16384" width="9.28515625" style="96"/>
  </cols>
  <sheetData>
    <row r="2" spans="2:7" ht="14.25" customHeight="1">
      <c r="B2" s="273" t="s">
        <v>396</v>
      </c>
      <c r="C2" s="273"/>
      <c r="D2" s="273"/>
      <c r="E2" s="273"/>
      <c r="F2" s="273"/>
      <c r="G2" s="273"/>
    </row>
    <row r="3" spans="2:7" ht="14.25" customHeight="1">
      <c r="B3" s="273" t="s">
        <v>467</v>
      </c>
      <c r="C3" s="273"/>
      <c r="D3" s="273"/>
      <c r="E3" s="273"/>
      <c r="F3" s="273"/>
      <c r="G3" s="273"/>
    </row>
    <row r="4" spans="2:7" ht="14.25" customHeight="1">
      <c r="B4" s="273" t="s">
        <v>341</v>
      </c>
      <c r="C4" s="273"/>
      <c r="D4" s="273"/>
      <c r="E4" s="273"/>
      <c r="F4" s="273"/>
      <c r="G4" s="273"/>
    </row>
    <row r="6" spans="2:7" ht="15">
      <c r="B6" s="308" t="s">
        <v>16</v>
      </c>
      <c r="C6" s="308" t="s">
        <v>205</v>
      </c>
      <c r="D6" s="308" t="s">
        <v>37</v>
      </c>
      <c r="E6" s="264" t="s">
        <v>397</v>
      </c>
      <c r="F6" s="265"/>
      <c r="G6" s="266"/>
    </row>
    <row r="7" spans="2:7" ht="30">
      <c r="B7" s="308"/>
      <c r="C7" s="308"/>
      <c r="D7" s="308"/>
      <c r="E7" s="17" t="s">
        <v>365</v>
      </c>
      <c r="F7" s="17" t="s">
        <v>233</v>
      </c>
      <c r="G7" s="17" t="s">
        <v>204</v>
      </c>
    </row>
    <row r="8" spans="2:7" ht="15">
      <c r="B8" s="308"/>
      <c r="C8" s="308"/>
      <c r="D8" s="308"/>
      <c r="E8" s="17" t="s">
        <v>8</v>
      </c>
      <c r="F8" s="17" t="s">
        <v>10</v>
      </c>
      <c r="G8" s="17" t="s">
        <v>226</v>
      </c>
    </row>
    <row r="9" spans="2:7">
      <c r="B9" s="103" t="s">
        <v>167</v>
      </c>
      <c r="C9" s="106" t="s">
        <v>348</v>
      </c>
      <c r="D9" s="106" t="s">
        <v>40</v>
      </c>
      <c r="E9" s="30">
        <v>10</v>
      </c>
      <c r="F9" s="115">
        <v>15.38697566295785</v>
      </c>
      <c r="G9" s="115">
        <f t="shared" ref="G9:G19" si="0">F9</f>
        <v>15.38697566295785</v>
      </c>
    </row>
    <row r="10" spans="2:7">
      <c r="B10" s="104" t="s">
        <v>203</v>
      </c>
      <c r="C10" s="107" t="s">
        <v>358</v>
      </c>
      <c r="D10" s="107" t="s">
        <v>47</v>
      </c>
      <c r="E10" s="30">
        <v>3000</v>
      </c>
      <c r="F10" s="118">
        <v>3246.122839921698</v>
      </c>
      <c r="G10" s="118">
        <f t="shared" si="0"/>
        <v>3246.122839921698</v>
      </c>
    </row>
    <row r="11" spans="2:7">
      <c r="B11" s="103" t="s">
        <v>342</v>
      </c>
      <c r="C11" s="106" t="s">
        <v>349</v>
      </c>
      <c r="D11" s="106" t="s">
        <v>49</v>
      </c>
      <c r="E11" s="30">
        <v>2</v>
      </c>
      <c r="F11" s="115">
        <v>4.2586107586075235</v>
      </c>
      <c r="G11" s="115">
        <f t="shared" si="0"/>
        <v>4.2586107586075235</v>
      </c>
    </row>
    <row r="12" spans="2:7">
      <c r="B12" s="103" t="s">
        <v>343</v>
      </c>
      <c r="C12" s="106" t="s">
        <v>350</v>
      </c>
      <c r="D12" s="106" t="s">
        <v>351</v>
      </c>
      <c r="E12" s="118">
        <f>F12</f>
        <v>9381</v>
      </c>
      <c r="F12" s="118">
        <v>9381</v>
      </c>
      <c r="G12" s="118">
        <f t="shared" si="0"/>
        <v>9381</v>
      </c>
    </row>
    <row r="13" spans="2:7">
      <c r="B13" s="103" t="s">
        <v>344</v>
      </c>
      <c r="C13" s="106" t="s">
        <v>352</v>
      </c>
      <c r="D13" s="106" t="s">
        <v>353</v>
      </c>
      <c r="E13" s="115">
        <f>F13</f>
        <v>8.3505378183524992E-2</v>
      </c>
      <c r="F13" s="115">
        <v>8.3505378183524992E-2</v>
      </c>
      <c r="G13" s="115">
        <f t="shared" si="0"/>
        <v>8.3505378183524992E-2</v>
      </c>
    </row>
    <row r="14" spans="2:7">
      <c r="B14" s="103" t="s">
        <v>359</v>
      </c>
      <c r="C14" s="106" t="s">
        <v>354</v>
      </c>
      <c r="D14" s="106" t="s">
        <v>328</v>
      </c>
      <c r="E14" s="115">
        <f>F14</f>
        <v>3614.7746998776279</v>
      </c>
      <c r="F14" s="115">
        <v>3614.7746998776279</v>
      </c>
      <c r="G14" s="115">
        <f t="shared" si="0"/>
        <v>3614.7746998776279</v>
      </c>
    </row>
    <row r="15" spans="2:7">
      <c r="B15" s="103" t="s">
        <v>345</v>
      </c>
      <c r="C15" s="106" t="s">
        <v>355</v>
      </c>
      <c r="D15" s="106" t="s">
        <v>356</v>
      </c>
      <c r="E15" s="115">
        <f>F15</f>
        <v>4.9385873088973602</v>
      </c>
      <c r="F15" s="115">
        <v>4.9385873088973602</v>
      </c>
      <c r="G15" s="115">
        <f t="shared" si="0"/>
        <v>4.9385873088973602</v>
      </c>
    </row>
    <row r="16" spans="2:7">
      <c r="B16" s="103" t="s">
        <v>346</v>
      </c>
      <c r="C16" s="106"/>
      <c r="D16" s="106" t="s">
        <v>357</v>
      </c>
      <c r="E16" s="115">
        <f>(E10-(E11*E12/1000))/E14</f>
        <v>0.82473687782005467</v>
      </c>
      <c r="F16" s="115">
        <f>(F10-(F11*F12/1000))/F14</f>
        <v>0.88696338737342062</v>
      </c>
      <c r="G16" s="115">
        <f t="shared" si="0"/>
        <v>0.88696338737342062</v>
      </c>
    </row>
    <row r="17" spans="2:7" ht="15">
      <c r="B17" s="103" t="s">
        <v>401</v>
      </c>
      <c r="C17" s="106"/>
      <c r="D17" s="105" t="s">
        <v>200</v>
      </c>
      <c r="E17" s="155">
        <f>IFERROR(((E10-E11*E12/1000)*E15/E14)*100/(100-E9),0)</f>
        <v>4.5255945310908379</v>
      </c>
      <c r="F17" s="155">
        <f>IFERROR(((F10-F11*F12/1000)*F15/F14)*100/(100-F9),0)</f>
        <v>5.1769171030816663</v>
      </c>
      <c r="G17" s="155">
        <f t="shared" si="0"/>
        <v>5.1769171030816663</v>
      </c>
    </row>
    <row r="18" spans="2:7" ht="15">
      <c r="B18" s="103" t="s">
        <v>402</v>
      </c>
      <c r="C18" s="106"/>
      <c r="D18" s="105" t="s">
        <v>200</v>
      </c>
      <c r="E18" s="155">
        <f>IFERROR((E11*E13)*100/(100-E9),0)</f>
        <v>0.18556750707449998</v>
      </c>
      <c r="F18" s="155">
        <f>IFERROR((F11*F13)*100/(100-F9),0)</f>
        <v>0.42028624401535125</v>
      </c>
      <c r="G18" s="155">
        <f t="shared" si="0"/>
        <v>0.42028624401535125</v>
      </c>
    </row>
    <row r="19" spans="2:7" ht="15">
      <c r="B19" s="105" t="s">
        <v>347</v>
      </c>
      <c r="C19" s="106"/>
      <c r="D19" s="105" t="s">
        <v>200</v>
      </c>
      <c r="E19" s="154">
        <v>4.7097090000000001</v>
      </c>
      <c r="F19" s="154">
        <f>IFERROR(((F10-F11*F12/1000)*F15/F14+F11*F13)*100/(100-F9),0)</f>
        <v>5.5972033470970173</v>
      </c>
      <c r="G19" s="154">
        <f t="shared" si="0"/>
        <v>5.5972033470970173</v>
      </c>
    </row>
  </sheetData>
  <mergeCells count="7">
    <mergeCell ref="B4:G4"/>
    <mergeCell ref="B3:G3"/>
    <mergeCell ref="B2:G2"/>
    <mergeCell ref="E6:G6"/>
    <mergeCell ref="B6:B8"/>
    <mergeCell ref="D6:D8"/>
    <mergeCell ref="C6:C8"/>
  </mergeCells>
  <pageMargins left="1.7" right="0.2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23"/>
  <sheetViews>
    <sheetView showGridLines="0" view="pageBreakPreview" zoomScale="87" zoomScaleNormal="93" zoomScaleSheetLayoutView="87" workbookViewId="0">
      <selection activeCell="H10" sqref="H10"/>
    </sheetView>
  </sheetViews>
  <sheetFormatPr defaultColWidth="9.28515625" defaultRowHeight="14.25"/>
  <cols>
    <col min="1" max="1" width="3" style="15" customWidth="1"/>
    <col min="2" max="2" width="6.28515625" style="15" customWidth="1"/>
    <col min="3" max="3" width="37.28515625" style="15" customWidth="1"/>
    <col min="4" max="4" width="14.28515625" style="15" customWidth="1"/>
    <col min="5" max="5" width="11.5703125" style="15" customWidth="1"/>
    <col min="6" max="6" width="13.85546875" style="15" customWidth="1"/>
    <col min="7" max="7" width="13.140625" style="15" customWidth="1"/>
    <col min="8" max="8" width="14.140625" style="15" customWidth="1"/>
    <col min="9" max="9" width="15.7109375" style="15" customWidth="1"/>
    <col min="10" max="16384" width="9.28515625" style="15"/>
  </cols>
  <sheetData>
    <row r="2" spans="2:10" ht="15">
      <c r="C2" s="5"/>
      <c r="D2" s="5"/>
      <c r="E2" s="5"/>
      <c r="F2" s="35" t="s">
        <v>396</v>
      </c>
      <c r="G2" s="5"/>
      <c r="H2" s="5"/>
      <c r="I2" s="5"/>
    </row>
    <row r="3" spans="2:10" ht="15">
      <c r="C3" s="5"/>
      <c r="D3" s="5"/>
      <c r="E3" s="5"/>
      <c r="F3" s="35" t="s">
        <v>467</v>
      </c>
      <c r="G3" s="5"/>
      <c r="H3" s="5"/>
      <c r="I3" s="5"/>
    </row>
    <row r="4" spans="2:10" s="4" customFormat="1" ht="15.75">
      <c r="B4" s="250"/>
      <c r="C4" s="5"/>
      <c r="D4" s="5"/>
      <c r="E4" s="250"/>
      <c r="F4" s="67" t="s">
        <v>400</v>
      </c>
      <c r="G4" s="5"/>
      <c r="H4" s="5"/>
      <c r="I4" s="5"/>
    </row>
    <row r="6" spans="2:10">
      <c r="I6" s="239" t="s">
        <v>473</v>
      </c>
    </row>
    <row r="7" spans="2:10" ht="12.75" customHeight="1">
      <c r="B7" s="257" t="s">
        <v>189</v>
      </c>
      <c r="C7" s="260" t="s">
        <v>16</v>
      </c>
      <c r="D7" s="254" t="s">
        <v>37</v>
      </c>
      <c r="E7" s="260" t="s">
        <v>1</v>
      </c>
      <c r="F7" s="264" t="s">
        <v>397</v>
      </c>
      <c r="G7" s="265"/>
      <c r="H7" s="266"/>
      <c r="I7" s="262" t="s">
        <v>9</v>
      </c>
    </row>
    <row r="8" spans="2:10" ht="30" customHeight="1">
      <c r="B8" s="258"/>
      <c r="C8" s="260"/>
      <c r="D8" s="255"/>
      <c r="E8" s="260"/>
      <c r="F8" s="17" t="s">
        <v>365</v>
      </c>
      <c r="G8" s="17" t="s">
        <v>225</v>
      </c>
      <c r="H8" s="17" t="s">
        <v>204</v>
      </c>
      <c r="I8" s="262"/>
    </row>
    <row r="9" spans="2:10" ht="15">
      <c r="B9" s="259"/>
      <c r="C9" s="261"/>
      <c r="D9" s="256"/>
      <c r="E9" s="261"/>
      <c r="F9" s="17" t="s">
        <v>8</v>
      </c>
      <c r="G9" s="17" t="s">
        <v>10</v>
      </c>
      <c r="H9" s="17" t="s">
        <v>226</v>
      </c>
      <c r="I9" s="263"/>
    </row>
    <row r="10" spans="2:10" ht="15">
      <c r="B10" s="24" t="s">
        <v>65</v>
      </c>
      <c r="C10" s="25" t="s">
        <v>229</v>
      </c>
      <c r="D10" s="22"/>
      <c r="E10" s="22"/>
      <c r="F10" s="17"/>
      <c r="G10" s="17"/>
      <c r="H10" s="17"/>
      <c r="I10" s="23"/>
    </row>
    <row r="11" spans="2:10" ht="15">
      <c r="B11" s="2">
        <v>1</v>
      </c>
      <c r="C11" s="3" t="s">
        <v>34</v>
      </c>
      <c r="D11" s="2" t="s">
        <v>201</v>
      </c>
      <c r="E11" s="19" t="s">
        <v>262</v>
      </c>
      <c r="F11" s="139">
        <f>'F2'!E14</f>
        <v>93.76</v>
      </c>
      <c r="G11" s="139">
        <f>'F2'!F14</f>
        <v>100.26</v>
      </c>
      <c r="H11" s="139">
        <f>'F2'!G14</f>
        <v>100.26</v>
      </c>
      <c r="I11" s="144"/>
    </row>
    <row r="12" spans="2:10" ht="15">
      <c r="B12" s="2">
        <f t="shared" ref="B12:B17" si="0">B11+1</f>
        <v>2</v>
      </c>
      <c r="C12" s="20" t="s">
        <v>163</v>
      </c>
      <c r="D12" s="2" t="s">
        <v>201</v>
      </c>
      <c r="E12" s="19" t="s">
        <v>21</v>
      </c>
      <c r="F12" s="145">
        <v>10.11</v>
      </c>
      <c r="G12" s="145">
        <f>H12</f>
        <v>19.440000000000001</v>
      </c>
      <c r="H12" s="139">
        <f>'F4'!K22-'F4'!L22</f>
        <v>19.440000000000001</v>
      </c>
      <c r="I12" s="144"/>
      <c r="J12" s="162"/>
    </row>
    <row r="13" spans="2:10" ht="15">
      <c r="B13" s="2">
        <f t="shared" si="0"/>
        <v>3</v>
      </c>
      <c r="C13" s="3" t="s">
        <v>227</v>
      </c>
      <c r="D13" s="2" t="s">
        <v>201</v>
      </c>
      <c r="E13" s="18" t="s">
        <v>27</v>
      </c>
      <c r="F13" s="139">
        <f>'F5'!D22</f>
        <v>0</v>
      </c>
      <c r="G13" s="139">
        <f>'F5'!E22</f>
        <v>0</v>
      </c>
      <c r="H13" s="139">
        <f>'F5'!F22</f>
        <v>0</v>
      </c>
      <c r="I13" s="144"/>
    </row>
    <row r="14" spans="2:10" ht="15">
      <c r="B14" s="2">
        <f t="shared" si="0"/>
        <v>4</v>
      </c>
      <c r="C14" s="20" t="s">
        <v>35</v>
      </c>
      <c r="D14" s="2" t="s">
        <v>201</v>
      </c>
      <c r="E14" s="18" t="s">
        <v>28</v>
      </c>
      <c r="F14" s="139">
        <f>'F6'!D20</f>
        <v>6.79</v>
      </c>
      <c r="G14" s="139">
        <f ca="1">'F6'!E20</f>
        <v>8.19</v>
      </c>
      <c r="H14" s="139">
        <f ca="1">'F6'!F20</f>
        <v>8.19</v>
      </c>
      <c r="I14" s="144"/>
    </row>
    <row r="15" spans="2:10" ht="15">
      <c r="B15" s="2">
        <f t="shared" si="0"/>
        <v>5</v>
      </c>
      <c r="C15" s="3" t="s">
        <v>228</v>
      </c>
      <c r="D15" s="2" t="s">
        <v>201</v>
      </c>
      <c r="E15" s="18" t="s">
        <v>29</v>
      </c>
      <c r="F15" s="139">
        <f>'F7'!D22</f>
        <v>7.16</v>
      </c>
      <c r="G15" s="139">
        <f>'F7'!E22</f>
        <v>7.9</v>
      </c>
      <c r="H15" s="139">
        <f>'F7'!F22</f>
        <v>7.9</v>
      </c>
      <c r="I15" s="144"/>
    </row>
    <row r="16" spans="2:10" ht="15">
      <c r="B16" s="2">
        <f t="shared" si="0"/>
        <v>6</v>
      </c>
      <c r="C16" s="3" t="s">
        <v>36</v>
      </c>
      <c r="D16" s="2" t="s">
        <v>201</v>
      </c>
      <c r="E16" s="18" t="s">
        <v>30</v>
      </c>
      <c r="F16" s="139">
        <f>'F8'!D34</f>
        <v>0</v>
      </c>
      <c r="G16" s="139">
        <f>'F8'!E34</f>
        <v>1.71</v>
      </c>
      <c r="H16" s="139">
        <f>G16</f>
        <v>1.71</v>
      </c>
      <c r="I16" s="144"/>
      <c r="J16" s="162"/>
    </row>
    <row r="17" spans="2:10" ht="15">
      <c r="B17" s="16">
        <f t="shared" si="0"/>
        <v>7</v>
      </c>
      <c r="C17" s="21" t="s">
        <v>229</v>
      </c>
      <c r="D17" s="16" t="s">
        <v>201</v>
      </c>
      <c r="E17" s="18"/>
      <c r="F17" s="139">
        <f>SUM(F11:F16)</f>
        <v>117.82000000000001</v>
      </c>
      <c r="G17" s="139">
        <f ca="1">SUM(G11:G15)-G16</f>
        <v>134.07999999999998</v>
      </c>
      <c r="H17" s="139">
        <f t="shared" ref="H17" ca="1" si="1">SUM(H11:H15)-H16</f>
        <v>134.07999999999998</v>
      </c>
      <c r="I17" s="144"/>
    </row>
    <row r="18" spans="2:10" ht="15">
      <c r="B18" s="16" t="s">
        <v>69</v>
      </c>
      <c r="C18" s="16" t="s">
        <v>230</v>
      </c>
      <c r="D18" s="18"/>
      <c r="E18" s="18"/>
      <c r="F18" s="18"/>
      <c r="G18" s="140"/>
      <c r="H18" s="140"/>
      <c r="I18" s="3"/>
    </row>
    <row r="19" spans="2:10" ht="15">
      <c r="B19" s="2">
        <v>1</v>
      </c>
      <c r="C19" s="18" t="s">
        <v>231</v>
      </c>
      <c r="D19" s="2" t="s">
        <v>200</v>
      </c>
      <c r="E19" s="18" t="s">
        <v>160</v>
      </c>
      <c r="F19" s="156">
        <f>'F12'!E19</f>
        <v>4.7097090000000001</v>
      </c>
      <c r="G19" s="156">
        <f>'F12'!F19</f>
        <v>5.5972033470970173</v>
      </c>
      <c r="H19" s="156">
        <f>'F12'!G19</f>
        <v>5.5972033470970173</v>
      </c>
      <c r="I19" s="3"/>
    </row>
    <row r="20" spans="2:10" ht="15">
      <c r="B20" s="2">
        <f>B19+1</f>
        <v>2</v>
      </c>
      <c r="C20" s="18" t="s">
        <v>232</v>
      </c>
      <c r="D20" s="2" t="s">
        <v>43</v>
      </c>
      <c r="E20" s="18" t="s">
        <v>32</v>
      </c>
      <c r="F20" s="139">
        <f>G20</f>
        <v>219.05600000000001</v>
      </c>
      <c r="G20" s="139">
        <f>'F10'!F23</f>
        <v>219.05600000000001</v>
      </c>
      <c r="H20" s="139">
        <f>G20</f>
        <v>219.05600000000001</v>
      </c>
      <c r="I20" s="3"/>
    </row>
    <row r="21" spans="2:10" ht="15">
      <c r="B21" s="2">
        <f>B20+1</f>
        <v>3</v>
      </c>
      <c r="C21" s="18" t="s">
        <v>230</v>
      </c>
      <c r="D21" s="2" t="s">
        <v>201</v>
      </c>
      <c r="E21" s="18"/>
      <c r="F21" s="139">
        <f>ROUND(F19*F20/10,2)</f>
        <v>103.17</v>
      </c>
      <c r="G21" s="139">
        <f t="shared" ref="G21:H21" si="2">G19*G20/10</f>
        <v>122.61009764016842</v>
      </c>
      <c r="H21" s="139">
        <f t="shared" si="2"/>
        <v>122.61009764016842</v>
      </c>
      <c r="I21" s="3"/>
    </row>
    <row r="22" spans="2:10" ht="15">
      <c r="B22" s="16" t="s">
        <v>70</v>
      </c>
      <c r="C22" s="16" t="s">
        <v>389</v>
      </c>
      <c r="D22" s="2" t="s">
        <v>201</v>
      </c>
      <c r="E22" s="3"/>
      <c r="F22" s="218">
        <f>F17+F21</f>
        <v>220.99</v>
      </c>
      <c r="G22" s="139">
        <f t="shared" ref="G22:H22" ca="1" si="3">G17+G21</f>
        <v>256.6900976401684</v>
      </c>
      <c r="H22" s="139">
        <f t="shared" ca="1" si="3"/>
        <v>256.6900976401684</v>
      </c>
      <c r="I22" s="3"/>
      <c r="J22" s="162"/>
    </row>
    <row r="23" spans="2:10">
      <c r="F23" s="157"/>
    </row>
  </sheetData>
  <mergeCells count="6">
    <mergeCell ref="D7:D9"/>
    <mergeCell ref="B7:B9"/>
    <mergeCell ref="C7:C9"/>
    <mergeCell ref="E7:E9"/>
    <mergeCell ref="I7:I9"/>
    <mergeCell ref="F7:H7"/>
  </mergeCells>
  <pageMargins left="0.23" right="0.23" top="0.92" bottom="1" header="0.5" footer="0.5"/>
  <pageSetup paperSize="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13"/>
  <sheetViews>
    <sheetView showGridLines="0" view="pageBreakPreview" zoomScale="90" zoomScaleNormal="93" zoomScaleSheetLayoutView="90" workbookViewId="0">
      <selection activeCell="H10" sqref="H10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2:15" ht="15">
      <c r="B1" s="108"/>
    </row>
    <row r="2" spans="2:15" ht="15">
      <c r="I2" s="35" t="s">
        <v>396</v>
      </c>
    </row>
    <row r="3" spans="2:15" ht="15">
      <c r="I3" s="35" t="s">
        <v>467</v>
      </c>
    </row>
    <row r="4" spans="2:15" ht="15">
      <c r="C4" s="72"/>
      <c r="D4" s="72"/>
      <c r="E4" s="72"/>
      <c r="F4" s="72"/>
      <c r="G4" s="72"/>
      <c r="H4" s="72"/>
      <c r="I4" s="38" t="s">
        <v>360</v>
      </c>
    </row>
    <row r="5" spans="2:15" ht="15">
      <c r="B5" s="26" t="s">
        <v>397</v>
      </c>
      <c r="C5" s="72"/>
      <c r="D5" s="72"/>
      <c r="E5" s="72"/>
      <c r="F5" s="72"/>
      <c r="G5" s="72"/>
      <c r="H5" s="72"/>
      <c r="I5" s="38"/>
    </row>
    <row r="6" spans="2:15" ht="15">
      <c r="B6" s="26" t="s">
        <v>10</v>
      </c>
      <c r="C6" s="27"/>
      <c r="D6" s="27"/>
      <c r="O6" s="27" t="s">
        <v>138</v>
      </c>
    </row>
    <row r="7" spans="2:15" s="35" customFormat="1" ht="15" customHeight="1">
      <c r="B7" s="33" t="s">
        <v>361</v>
      </c>
      <c r="C7" s="33" t="s">
        <v>139</v>
      </c>
      <c r="D7" s="33" t="s">
        <v>140</v>
      </c>
      <c r="E7" s="109" t="s">
        <v>141</v>
      </c>
      <c r="F7" s="109" t="s">
        <v>142</v>
      </c>
      <c r="G7" s="109" t="s">
        <v>143</v>
      </c>
      <c r="H7" s="109" t="s">
        <v>144</v>
      </c>
      <c r="I7" s="109" t="s">
        <v>145</v>
      </c>
      <c r="J7" s="109" t="s">
        <v>146</v>
      </c>
      <c r="K7" s="109" t="s">
        <v>147</v>
      </c>
      <c r="L7" s="109" t="s">
        <v>148</v>
      </c>
      <c r="M7" s="109" t="s">
        <v>149</v>
      </c>
      <c r="N7" s="109" t="s">
        <v>150</v>
      </c>
      <c r="O7" s="109" t="s">
        <v>137</v>
      </c>
    </row>
    <row r="8" spans="2:15" s="35" customFormat="1" ht="15">
      <c r="B8" s="204" t="s">
        <v>464</v>
      </c>
      <c r="C8" s="203">
        <f>19.63*0.7055</f>
        <v>13.848965</v>
      </c>
      <c r="D8" s="203">
        <f>24.6*0.7055</f>
        <v>17.3553</v>
      </c>
      <c r="E8" s="203">
        <f>21.27*0.7055</f>
        <v>15.005985000000001</v>
      </c>
      <c r="F8" s="203">
        <f>24.61*0.7055</f>
        <v>17.362355000000001</v>
      </c>
      <c r="G8" s="203">
        <f>24.02*0.7055</f>
        <v>16.946110000000001</v>
      </c>
      <c r="H8" s="203">
        <f>3.47*0.7055</f>
        <v>2.4480850000000003</v>
      </c>
      <c r="I8" s="203">
        <f>1.72*0.7055</f>
        <v>1.21346</v>
      </c>
      <c r="J8" s="203">
        <f>18.64*0.7055</f>
        <v>13.15052</v>
      </c>
      <c r="K8" s="203">
        <f>22.98*0.7055</f>
        <v>16.212389999999999</v>
      </c>
      <c r="L8" s="203">
        <f>24.74*0.7055</f>
        <v>17.454069999999998</v>
      </c>
      <c r="M8" s="203">
        <f>20.13*0.7055</f>
        <v>14.201715</v>
      </c>
      <c r="N8" s="203">
        <f>13.24263*0.7055</f>
        <v>9.342675465000001</v>
      </c>
      <c r="O8" s="175">
        <f>SUM(C8:N8)</f>
        <v>154.54163046500003</v>
      </c>
    </row>
    <row r="9" spans="2:15" s="35" customFormat="1" ht="15">
      <c r="B9" s="204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175"/>
    </row>
    <row r="10" spans="2:15" s="35" customFormat="1" ht="15">
      <c r="B10" s="204" t="s">
        <v>465</v>
      </c>
      <c r="C10" s="203">
        <f>19.63*0.2945</f>
        <v>5.7810349999999993</v>
      </c>
      <c r="D10" s="203">
        <f>24.6*0.2945</f>
        <v>7.2446999999999999</v>
      </c>
      <c r="E10" s="203">
        <f>21.27*0.2945</f>
        <v>6.2640149999999997</v>
      </c>
      <c r="F10" s="203">
        <f>24.61*0.2945</f>
        <v>7.2476449999999994</v>
      </c>
      <c r="G10" s="203">
        <f>24.02*0.2945</f>
        <v>7.0738899999999996</v>
      </c>
      <c r="H10" s="203">
        <f>3.47*0.2945</f>
        <v>1.0219149999999999</v>
      </c>
      <c r="I10" s="203">
        <f>1.72*0.2945</f>
        <v>0.50653999999999999</v>
      </c>
      <c r="J10" s="203">
        <f>18.64*0.2945</f>
        <v>5.4894799999999995</v>
      </c>
      <c r="K10" s="203">
        <f>22.98*0.2945</f>
        <v>6.7676099999999995</v>
      </c>
      <c r="L10" s="203">
        <f>24.74*0.2945</f>
        <v>7.2859299999999996</v>
      </c>
      <c r="M10" s="203">
        <f>20.13*0.2945</f>
        <v>5.9282849999999998</v>
      </c>
      <c r="N10" s="203">
        <f>13.24263*0.2945</f>
        <v>3.899954535</v>
      </c>
      <c r="O10" s="175">
        <f>SUM(C10:N10)</f>
        <v>64.510999534999996</v>
      </c>
    </row>
    <row r="11" spans="2:15">
      <c r="B11" s="40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2:15" ht="15">
      <c r="B12" s="42" t="s">
        <v>137</v>
      </c>
      <c r="C12" s="130">
        <f>C8+C10</f>
        <v>19.63</v>
      </c>
      <c r="D12" s="130">
        <f t="shared" ref="D12:O12" si="0">D8+D10</f>
        <v>24.6</v>
      </c>
      <c r="E12" s="130">
        <f t="shared" si="0"/>
        <v>21.27</v>
      </c>
      <c r="F12" s="130">
        <f t="shared" si="0"/>
        <v>24.61</v>
      </c>
      <c r="G12" s="130">
        <f t="shared" si="0"/>
        <v>24.02</v>
      </c>
      <c r="H12" s="130">
        <f t="shared" si="0"/>
        <v>3.47</v>
      </c>
      <c r="I12" s="130">
        <f t="shared" si="0"/>
        <v>1.72</v>
      </c>
      <c r="J12" s="130">
        <f t="shared" si="0"/>
        <v>18.64</v>
      </c>
      <c r="K12" s="130">
        <f t="shared" si="0"/>
        <v>22.979999999999997</v>
      </c>
      <c r="L12" s="130">
        <f t="shared" si="0"/>
        <v>24.74</v>
      </c>
      <c r="M12" s="130">
        <f t="shared" si="0"/>
        <v>20.13</v>
      </c>
      <c r="N12" s="130">
        <f>N8+N10</f>
        <v>13.242630000000002</v>
      </c>
      <c r="O12" s="130">
        <f t="shared" si="0"/>
        <v>219.05263000000002</v>
      </c>
    </row>
    <row r="13" spans="2:15" ht="16.5">
      <c r="B13" s="26"/>
      <c r="C13" s="72"/>
      <c r="D13" s="72"/>
      <c r="E13" s="72"/>
      <c r="F13" s="72"/>
      <c r="G13" s="72"/>
      <c r="H13" s="72"/>
      <c r="I13" s="94"/>
    </row>
  </sheetData>
  <pageMargins left="0.38" right="0.33" top="1" bottom="0.37" header="0.5" footer="0.5"/>
  <pageSetup paperSize="9" scale="82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2"/>
  <sheetViews>
    <sheetView showGridLines="0" tabSelected="1" view="pageBreakPreview" topLeftCell="A8" zoomScaleNormal="93" zoomScaleSheetLayoutView="100" workbookViewId="0">
      <selection activeCell="C30" sqref="C30"/>
    </sheetView>
  </sheetViews>
  <sheetFormatPr defaultColWidth="9.28515625" defaultRowHeight="14.25"/>
  <cols>
    <col min="1" max="1" width="2.42578125" style="15" customWidth="1"/>
    <col min="2" max="2" width="5" style="15" customWidth="1"/>
    <col min="3" max="3" width="40.5703125" style="15" customWidth="1"/>
    <col min="4" max="4" width="13" style="15" customWidth="1"/>
    <col min="5" max="5" width="9.85546875" style="15" customWidth="1"/>
    <col min="6" max="6" width="10.42578125" style="15" customWidth="1"/>
    <col min="7" max="7" width="9" style="15" customWidth="1"/>
    <col min="8" max="8" width="9.7109375" style="15" customWidth="1"/>
    <col min="9" max="9" width="10" style="15" customWidth="1"/>
    <col min="10" max="10" width="11.140625" style="15" customWidth="1"/>
    <col min="11" max="11" width="9.5703125" style="15" customWidth="1"/>
    <col min="12" max="12" width="8.42578125" style="15" customWidth="1"/>
    <col min="13" max="13" width="9.7109375" style="15" customWidth="1"/>
    <col min="14" max="15" width="9" style="15" customWidth="1"/>
    <col min="16" max="16" width="10" style="15" customWidth="1"/>
    <col min="17" max="17" width="11.7109375" style="15" customWidth="1"/>
    <col min="18" max="16384" width="9.28515625" style="15"/>
  </cols>
  <sheetData>
    <row r="1" spans="2:17" s="5" customFormat="1" ht="15">
      <c r="B1" s="108"/>
    </row>
    <row r="2" spans="2:17" s="5" customFormat="1" ht="15" customHeight="1"/>
    <row r="3" spans="2:17" s="5" customFormat="1" ht="15" customHeight="1">
      <c r="I3" s="35" t="s">
        <v>396</v>
      </c>
    </row>
    <row r="4" spans="2:17" s="5" customFormat="1" ht="15" customHeight="1">
      <c r="I4" s="35" t="s">
        <v>467</v>
      </c>
    </row>
    <row r="5" spans="2:17" ht="15">
      <c r="B5" s="26" t="s">
        <v>397</v>
      </c>
      <c r="I5" s="38" t="s">
        <v>364</v>
      </c>
    </row>
    <row r="6" spans="2:17" ht="15">
      <c r="B6" s="39" t="s">
        <v>10</v>
      </c>
    </row>
    <row r="7" spans="2:17" ht="30">
      <c r="B7" s="110" t="s">
        <v>189</v>
      </c>
      <c r="C7" s="110" t="s">
        <v>16</v>
      </c>
      <c r="D7" s="110" t="s">
        <v>37</v>
      </c>
      <c r="E7" s="33" t="s">
        <v>139</v>
      </c>
      <c r="F7" s="33" t="s">
        <v>140</v>
      </c>
      <c r="G7" s="109" t="s">
        <v>141</v>
      </c>
      <c r="H7" s="109" t="s">
        <v>142</v>
      </c>
      <c r="I7" s="109" t="s">
        <v>143</v>
      </c>
      <c r="J7" s="109" t="s">
        <v>144</v>
      </c>
      <c r="K7" s="109" t="s">
        <v>145</v>
      </c>
      <c r="L7" s="109" t="s">
        <v>146</v>
      </c>
      <c r="M7" s="109" t="s">
        <v>147</v>
      </c>
      <c r="N7" s="109" t="s">
        <v>148</v>
      </c>
      <c r="O7" s="109" t="s">
        <v>149</v>
      </c>
      <c r="P7" s="109" t="s">
        <v>150</v>
      </c>
      <c r="Q7" s="111" t="s">
        <v>137</v>
      </c>
    </row>
    <row r="8" spans="2:17" ht="16.5">
      <c r="B8" s="112">
        <v>1</v>
      </c>
      <c r="C8" s="113" t="s">
        <v>168</v>
      </c>
      <c r="D8" s="112" t="s">
        <v>40</v>
      </c>
      <c r="E8" s="176">
        <v>75</v>
      </c>
      <c r="F8" s="176">
        <v>75</v>
      </c>
      <c r="G8" s="176">
        <v>75</v>
      </c>
      <c r="H8" s="176">
        <v>75</v>
      </c>
      <c r="I8" s="176">
        <v>75</v>
      </c>
      <c r="J8" s="176">
        <v>75</v>
      </c>
      <c r="K8" s="176">
        <v>75</v>
      </c>
      <c r="L8" s="176">
        <v>75</v>
      </c>
      <c r="M8" s="176">
        <v>75</v>
      </c>
      <c r="N8" s="176">
        <v>75</v>
      </c>
      <c r="O8" s="176">
        <v>75</v>
      </c>
      <c r="P8" s="176">
        <v>75</v>
      </c>
      <c r="Q8" s="176">
        <v>75</v>
      </c>
    </row>
    <row r="9" spans="2:17" ht="16.5">
      <c r="B9" s="112">
        <f>B8+1</f>
        <v>2</v>
      </c>
      <c r="C9" s="113" t="s">
        <v>190</v>
      </c>
      <c r="D9" s="112" t="s">
        <v>40</v>
      </c>
      <c r="E9" s="198">
        <v>49.59</v>
      </c>
      <c r="F9" s="198">
        <v>67.06</v>
      </c>
      <c r="G9" s="198">
        <v>51.81</v>
      </c>
      <c r="H9" s="198">
        <v>59.5</v>
      </c>
      <c r="I9" s="198">
        <v>57.36</v>
      </c>
      <c r="J9" s="198">
        <v>8.59</v>
      </c>
      <c r="K9" s="198">
        <v>4.83</v>
      </c>
      <c r="L9" s="198">
        <v>46.99</v>
      </c>
      <c r="M9" s="198">
        <v>54.54</v>
      </c>
      <c r="N9" s="198">
        <v>59.62</v>
      </c>
      <c r="O9" s="198">
        <v>51.33</v>
      </c>
      <c r="P9" s="198">
        <v>30.68</v>
      </c>
      <c r="Q9" s="198">
        <v>45.04</v>
      </c>
    </row>
    <row r="10" spans="2:17" ht="16.5">
      <c r="B10" s="112">
        <f t="shared" ref="B10:B26" si="0">B9+1</f>
        <v>3</v>
      </c>
      <c r="C10" s="113" t="s">
        <v>191</v>
      </c>
      <c r="D10" s="112" t="s">
        <v>40</v>
      </c>
      <c r="E10" s="198">
        <v>49.59</v>
      </c>
      <c r="F10" s="198">
        <v>58.47</v>
      </c>
      <c r="G10" s="198">
        <v>56.27</v>
      </c>
      <c r="H10" s="198">
        <v>57.09</v>
      </c>
      <c r="I10" s="198">
        <v>57.15</v>
      </c>
      <c r="J10" s="198">
        <v>49.19</v>
      </c>
      <c r="K10" s="198">
        <v>42.76</v>
      </c>
      <c r="L10" s="198">
        <v>43.28</v>
      </c>
      <c r="M10" s="198">
        <v>44.55</v>
      </c>
      <c r="N10" s="198">
        <v>46.08</v>
      </c>
      <c r="O10" s="198">
        <v>46.53</v>
      </c>
      <c r="P10" s="198">
        <v>45.19</v>
      </c>
      <c r="Q10" s="176"/>
    </row>
    <row r="11" spans="2:17" ht="16.5">
      <c r="B11" s="112">
        <f t="shared" si="0"/>
        <v>4</v>
      </c>
      <c r="C11" s="113" t="s">
        <v>41</v>
      </c>
      <c r="D11" s="112" t="s">
        <v>40</v>
      </c>
      <c r="E11" s="198">
        <v>75</v>
      </c>
      <c r="F11" s="198">
        <v>75</v>
      </c>
      <c r="G11" s="198">
        <v>75</v>
      </c>
      <c r="H11" s="198">
        <v>75</v>
      </c>
      <c r="I11" s="198">
        <v>75</v>
      </c>
      <c r="J11" s="198">
        <v>75</v>
      </c>
      <c r="K11" s="198">
        <v>75</v>
      </c>
      <c r="L11" s="198">
        <v>75</v>
      </c>
      <c r="M11" s="198">
        <v>75</v>
      </c>
      <c r="N11" s="198">
        <v>75</v>
      </c>
      <c r="O11" s="198">
        <v>75</v>
      </c>
      <c r="P11" s="198">
        <v>75</v>
      </c>
      <c r="Q11" s="176">
        <v>75</v>
      </c>
    </row>
    <row r="12" spans="2:17" ht="16.5">
      <c r="B12" s="112">
        <f t="shared" si="0"/>
        <v>5</v>
      </c>
      <c r="C12" s="113" t="s">
        <v>192</v>
      </c>
      <c r="D12" s="112" t="s">
        <v>40</v>
      </c>
      <c r="E12" s="198">
        <v>50.92</v>
      </c>
      <c r="F12" s="198">
        <v>61.56</v>
      </c>
      <c r="G12" s="198">
        <v>56.09</v>
      </c>
      <c r="H12" s="198">
        <v>62.15</v>
      </c>
      <c r="I12" s="198">
        <v>60.89</v>
      </c>
      <c r="J12" s="198">
        <v>10.47</v>
      </c>
      <c r="K12" s="198">
        <v>5.34</v>
      </c>
      <c r="L12" s="198">
        <v>48.19</v>
      </c>
      <c r="M12" s="198">
        <v>57.69</v>
      </c>
      <c r="N12" s="198">
        <v>62.17</v>
      </c>
      <c r="O12" s="198">
        <v>54.72</v>
      </c>
      <c r="P12" s="198">
        <v>35.43</v>
      </c>
      <c r="Q12" s="176"/>
    </row>
    <row r="13" spans="2:17" ht="16.5">
      <c r="B13" s="112">
        <f t="shared" si="0"/>
        <v>6</v>
      </c>
      <c r="C13" s="113" t="s">
        <v>193</v>
      </c>
      <c r="D13" s="112" t="s">
        <v>40</v>
      </c>
      <c r="E13" s="198">
        <v>50.92</v>
      </c>
      <c r="F13" s="198">
        <v>56.33</v>
      </c>
      <c r="G13" s="198">
        <v>56.25</v>
      </c>
      <c r="H13" s="198">
        <v>57.75</v>
      </c>
      <c r="I13" s="198">
        <v>58.38</v>
      </c>
      <c r="J13" s="198">
        <v>50.53</v>
      </c>
      <c r="K13" s="198">
        <v>43.98</v>
      </c>
      <c r="L13" s="198">
        <v>44.5</v>
      </c>
      <c r="M13" s="198">
        <v>45.99</v>
      </c>
      <c r="N13" s="198">
        <v>47.63</v>
      </c>
      <c r="O13" s="198">
        <v>48.24</v>
      </c>
      <c r="P13" s="198">
        <v>47.16</v>
      </c>
      <c r="Q13" s="176"/>
    </row>
    <row r="14" spans="2:17" ht="16.5">
      <c r="B14" s="112">
        <f t="shared" si="0"/>
        <v>7</v>
      </c>
      <c r="C14" s="102" t="s">
        <v>194</v>
      </c>
      <c r="D14" s="116" t="s">
        <v>43</v>
      </c>
      <c r="E14" s="198">
        <v>22.91</v>
      </c>
      <c r="F14" s="198">
        <v>28.63</v>
      </c>
      <c r="G14" s="198">
        <v>25.24</v>
      </c>
      <c r="H14" s="198">
        <v>28.9</v>
      </c>
      <c r="I14" s="198">
        <v>28.31</v>
      </c>
      <c r="J14" s="198">
        <v>4.71</v>
      </c>
      <c r="K14" s="198">
        <v>2.4900000000000002</v>
      </c>
      <c r="L14" s="198">
        <v>21.69</v>
      </c>
      <c r="M14" s="198">
        <v>26.83</v>
      </c>
      <c r="N14" s="198">
        <v>28.91</v>
      </c>
      <c r="O14" s="198">
        <v>23.8</v>
      </c>
      <c r="P14" s="198">
        <v>16.47</v>
      </c>
      <c r="Q14" s="176">
        <v>258.89000000000004</v>
      </c>
    </row>
    <row r="15" spans="2:17" ht="16.5">
      <c r="B15" s="112">
        <f t="shared" si="0"/>
        <v>8</v>
      </c>
      <c r="C15" s="102" t="s">
        <v>195</v>
      </c>
      <c r="D15" s="116" t="s">
        <v>43</v>
      </c>
      <c r="E15" s="198">
        <v>3.28</v>
      </c>
      <c r="F15" s="198">
        <v>4.03</v>
      </c>
      <c r="G15" s="198">
        <v>3.97</v>
      </c>
      <c r="H15" s="198">
        <v>4.29</v>
      </c>
      <c r="I15" s="198">
        <v>4.3</v>
      </c>
      <c r="J15" s="198">
        <v>1.24</v>
      </c>
      <c r="K15" s="198">
        <v>0.76</v>
      </c>
      <c r="L15" s="198">
        <v>3.05</v>
      </c>
      <c r="M15" s="198">
        <v>3.84</v>
      </c>
      <c r="N15" s="198">
        <v>4.17</v>
      </c>
      <c r="O15" s="198">
        <v>3.67</v>
      </c>
      <c r="P15" s="198">
        <v>3.23</v>
      </c>
      <c r="Q15" s="176">
        <v>39.83</v>
      </c>
    </row>
    <row r="16" spans="2:17" s="214" customFormat="1" ht="16.5">
      <c r="B16" s="210">
        <f t="shared" si="0"/>
        <v>9</v>
      </c>
      <c r="C16" s="211" t="s">
        <v>212</v>
      </c>
      <c r="D16" s="212" t="s">
        <v>43</v>
      </c>
      <c r="E16" s="213">
        <v>19.63</v>
      </c>
      <c r="F16" s="213">
        <v>24.599999999999998</v>
      </c>
      <c r="G16" s="213">
        <v>21.27</v>
      </c>
      <c r="H16" s="213">
        <v>24.61</v>
      </c>
      <c r="I16" s="213">
        <v>24.009999999999998</v>
      </c>
      <c r="J16" s="213">
        <v>3.4699999999999998</v>
      </c>
      <c r="K16" s="213">
        <v>1.7300000000000002</v>
      </c>
      <c r="L16" s="213">
        <v>18.64</v>
      </c>
      <c r="M16" s="213">
        <v>22.99</v>
      </c>
      <c r="N16" s="213">
        <v>24.740000000000002</v>
      </c>
      <c r="O16" s="213">
        <v>20.130000000000003</v>
      </c>
      <c r="P16" s="213">
        <v>13.239999999999998</v>
      </c>
      <c r="Q16" s="213">
        <v>219.06000000000003</v>
      </c>
    </row>
    <row r="17" spans="2:17" s="6" customFormat="1" ht="15">
      <c r="B17" s="205">
        <f t="shared" si="0"/>
        <v>10</v>
      </c>
      <c r="C17" s="206" t="s">
        <v>213</v>
      </c>
      <c r="D17" s="207" t="s">
        <v>43</v>
      </c>
      <c r="E17" s="208">
        <v>-14.147000000000002</v>
      </c>
      <c r="F17" s="208">
        <v>-10.275000000000002</v>
      </c>
      <c r="G17" s="208">
        <v>-12.48</v>
      </c>
      <c r="H17" s="208">
        <v>-10.265000000000001</v>
      </c>
      <c r="I17" s="208">
        <v>-10.865000000000002</v>
      </c>
      <c r="J17" s="208">
        <v>-30.28</v>
      </c>
      <c r="K17" s="208">
        <v>-33.145000000000003</v>
      </c>
      <c r="L17" s="208">
        <v>-15.11</v>
      </c>
      <c r="M17" s="208">
        <v>-11.885000000000002</v>
      </c>
      <c r="N17" s="208">
        <v>-10.134999999999998</v>
      </c>
      <c r="O17" s="208">
        <v>-12.494999999999997</v>
      </c>
      <c r="P17" s="208">
        <v>-21.635000000000002</v>
      </c>
      <c r="Q17" s="209">
        <v>-192.71699999999998</v>
      </c>
    </row>
    <row r="18" spans="2:17" ht="16.5">
      <c r="B18" s="112">
        <f t="shared" si="0"/>
        <v>11</v>
      </c>
      <c r="C18" s="102" t="s">
        <v>196</v>
      </c>
      <c r="D18" s="116" t="s">
        <v>200</v>
      </c>
      <c r="E18" s="197">
        <v>3.04</v>
      </c>
      <c r="F18" s="197">
        <v>3.04</v>
      </c>
      <c r="G18" s="197">
        <v>3.04</v>
      </c>
      <c r="H18" s="197">
        <v>3.04</v>
      </c>
      <c r="I18" s="197">
        <v>3.04</v>
      </c>
      <c r="J18" s="197">
        <v>3.04</v>
      </c>
      <c r="K18" s="197">
        <v>3.04</v>
      </c>
      <c r="L18" s="197">
        <v>3.04</v>
      </c>
      <c r="M18" s="197">
        <v>3.04</v>
      </c>
      <c r="N18" s="197">
        <v>3.04</v>
      </c>
      <c r="O18" s="197">
        <v>3.04</v>
      </c>
      <c r="P18" s="197">
        <v>3.04</v>
      </c>
      <c r="Q18" s="117"/>
    </row>
    <row r="19" spans="2:17" ht="16.5">
      <c r="B19" s="112">
        <f t="shared" si="0"/>
        <v>12</v>
      </c>
      <c r="C19" s="102" t="s">
        <v>214</v>
      </c>
      <c r="D19" s="116" t="s">
        <v>201</v>
      </c>
      <c r="E19" s="196">
        <v>9.8179999999999996</v>
      </c>
      <c r="F19" s="196">
        <v>9.8179999999999996</v>
      </c>
      <c r="G19" s="196">
        <v>9.8179999999999996</v>
      </c>
      <c r="H19" s="196">
        <v>9.8179999999999996</v>
      </c>
      <c r="I19" s="196">
        <v>9.8179999999999996</v>
      </c>
      <c r="J19" s="196">
        <v>9.8179999999999996</v>
      </c>
      <c r="K19" s="196">
        <v>9.8179999999999996</v>
      </c>
      <c r="L19" s="196">
        <v>9.8179999999999996</v>
      </c>
      <c r="M19" s="196">
        <v>9.8179999999999996</v>
      </c>
      <c r="N19" s="196">
        <v>9.8179999999999996</v>
      </c>
      <c r="O19" s="196">
        <v>9.8179999999999996</v>
      </c>
      <c r="P19" s="196">
        <v>9.8179999999999996</v>
      </c>
      <c r="Q19" s="115">
        <v>117.81599999999999</v>
      </c>
    </row>
    <row r="20" spans="2:17" ht="16.5">
      <c r="B20" s="112">
        <f t="shared" si="0"/>
        <v>13</v>
      </c>
      <c r="C20" s="102" t="s">
        <v>362</v>
      </c>
      <c r="D20" s="116" t="s">
        <v>200</v>
      </c>
      <c r="E20" s="197">
        <v>4.1840000000000002</v>
      </c>
      <c r="F20" s="197">
        <v>4.6310000000000002</v>
      </c>
      <c r="G20" s="197">
        <v>4.6849999999999996</v>
      </c>
      <c r="H20" s="197">
        <v>4.87</v>
      </c>
      <c r="I20" s="197">
        <v>4.8680000000000003</v>
      </c>
      <c r="J20" s="197">
        <v>4.8179999999999996</v>
      </c>
      <c r="K20" s="197">
        <v>4.7039999999999997</v>
      </c>
      <c r="L20" s="197">
        <v>4.8179999999999996</v>
      </c>
      <c r="M20" s="197">
        <v>4.7430000000000003</v>
      </c>
      <c r="N20" s="197">
        <v>4.7080000000000002</v>
      </c>
      <c r="O20" s="197">
        <v>4.71</v>
      </c>
      <c r="P20" s="197">
        <v>4.8579999999999997</v>
      </c>
      <c r="Q20" s="115"/>
    </row>
    <row r="21" spans="2:17" ht="16.5">
      <c r="B21" s="112">
        <f t="shared" si="0"/>
        <v>14</v>
      </c>
      <c r="C21" s="102" t="s">
        <v>197</v>
      </c>
      <c r="D21" s="116" t="s">
        <v>201</v>
      </c>
      <c r="E21" s="196">
        <v>6.4918820000000004</v>
      </c>
      <c r="F21" s="196">
        <v>8.8168633333333322</v>
      </c>
      <c r="G21" s="196">
        <v>6.7903593333333356</v>
      </c>
      <c r="H21" s="196">
        <v>7.7957566666666684</v>
      </c>
      <c r="I21" s="196">
        <v>7.5129886666666659</v>
      </c>
      <c r="J21" s="196">
        <v>1.2292553333333203</v>
      </c>
      <c r="K21" s="196">
        <v>0.54720844444445049</v>
      </c>
      <c r="L21" s="196">
        <v>6.1423493333333425</v>
      </c>
      <c r="M21" s="196">
        <v>7.162146888888878</v>
      </c>
      <c r="N21" s="196">
        <v>7.8350300000000033</v>
      </c>
      <c r="O21" s="196">
        <v>6.6803940000000139</v>
      </c>
      <c r="P21" s="196">
        <v>3.9862433333333058</v>
      </c>
      <c r="Q21" s="115">
        <v>70.990477333333317</v>
      </c>
    </row>
    <row r="22" spans="2:17" ht="16.5">
      <c r="B22" s="112">
        <f t="shared" si="0"/>
        <v>15</v>
      </c>
      <c r="C22" s="102" t="s">
        <v>363</v>
      </c>
      <c r="D22" s="116" t="s">
        <v>201</v>
      </c>
      <c r="E22" s="196">
        <v>5.9685338400000001</v>
      </c>
      <c r="F22" s="196">
        <v>7.4779759200000004</v>
      </c>
      <c r="G22" s="196">
        <v>6.46642048</v>
      </c>
      <c r="H22" s="196">
        <v>7.4810904000000003</v>
      </c>
      <c r="I22" s="196">
        <v>7.3010007999999997</v>
      </c>
      <c r="J22" s="196">
        <v>1.05463376</v>
      </c>
      <c r="K22" s="196">
        <v>0.52403215999999964</v>
      </c>
      <c r="L22" s="196">
        <v>5.66642928</v>
      </c>
      <c r="M22" s="196">
        <v>6.9871420799999999</v>
      </c>
      <c r="N22" s="196">
        <v>7.5214008000000003</v>
      </c>
      <c r="O22" s="196">
        <v>6.1192433600000005</v>
      </c>
      <c r="P22" s="196">
        <v>4.0257595200000003</v>
      </c>
      <c r="Q22" s="115">
        <v>66.593662399999999</v>
      </c>
    </row>
    <row r="23" spans="2:17" ht="16.5">
      <c r="B23" s="112">
        <f t="shared" si="0"/>
        <v>16</v>
      </c>
      <c r="C23" s="102" t="s">
        <v>215</v>
      </c>
      <c r="D23" s="116" t="s">
        <v>201</v>
      </c>
      <c r="E23" s="196">
        <v>2.2462356919653317</v>
      </c>
      <c r="F23" s="196">
        <v>3.9141555261373848</v>
      </c>
      <c r="G23" s="196">
        <v>3.4988577046776652</v>
      </c>
      <c r="H23" s="196">
        <v>4.5025860857469082</v>
      </c>
      <c r="I23" s="196">
        <v>4.3910313514740063</v>
      </c>
      <c r="J23" s="196">
        <v>0.61694005864479762</v>
      </c>
      <c r="K23" s="196">
        <v>0.28677803437036836</v>
      </c>
      <c r="L23" s="196">
        <v>3.3138870608697668</v>
      </c>
      <c r="M23" s="196">
        <v>3.9138396799999997</v>
      </c>
      <c r="N23" s="196">
        <v>4.1262139660856052</v>
      </c>
      <c r="O23" s="196">
        <v>3.3609515999999999</v>
      </c>
      <c r="P23" s="196">
        <v>2.4071502899737114</v>
      </c>
      <c r="Q23" s="115">
        <v>36.578627049945545</v>
      </c>
    </row>
    <row r="24" spans="2:17" ht="16.5">
      <c r="B24" s="112">
        <f t="shared" si="0"/>
        <v>17</v>
      </c>
      <c r="C24" s="102" t="s">
        <v>198</v>
      </c>
      <c r="D24" s="116" t="s">
        <v>201</v>
      </c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15"/>
    </row>
    <row r="25" spans="2:17" ht="15">
      <c r="B25" s="112">
        <f t="shared" si="0"/>
        <v>18</v>
      </c>
      <c r="C25" s="120" t="s">
        <v>151</v>
      </c>
      <c r="D25" s="116" t="s">
        <v>201</v>
      </c>
      <c r="E25" s="119">
        <v>14.706651531965331</v>
      </c>
      <c r="F25" s="119">
        <v>20.208994779470718</v>
      </c>
      <c r="G25" s="119">
        <v>16.755637518011</v>
      </c>
      <c r="H25" s="119">
        <v>19.779433152413578</v>
      </c>
      <c r="I25" s="119">
        <v>19.205020818140671</v>
      </c>
      <c r="J25" s="119">
        <v>2.9008291519781175</v>
      </c>
      <c r="K25" s="119">
        <v>1.3580186388148183</v>
      </c>
      <c r="L25" s="119">
        <v>15.122665674203109</v>
      </c>
      <c r="M25" s="119">
        <v>18.063128648888878</v>
      </c>
      <c r="N25" s="119">
        <v>19.48264476608561</v>
      </c>
      <c r="O25" s="119">
        <v>16.160588960000013</v>
      </c>
      <c r="P25" s="119">
        <v>10.419153143307017</v>
      </c>
      <c r="Q25" s="115">
        <v>174.16276678327884</v>
      </c>
    </row>
    <row r="26" spans="2:17" ht="15">
      <c r="B26" s="112">
        <f t="shared" si="0"/>
        <v>19</v>
      </c>
      <c r="C26" s="122" t="s">
        <v>199</v>
      </c>
      <c r="D26" s="116"/>
      <c r="E26" s="119"/>
      <c r="F26" s="114"/>
      <c r="G26" s="114"/>
      <c r="H26" s="114"/>
      <c r="I26" s="114"/>
      <c r="J26" s="114"/>
      <c r="K26" s="114"/>
      <c r="L26" s="114"/>
      <c r="M26" s="115"/>
      <c r="N26" s="115"/>
      <c r="O26" s="115"/>
      <c r="P26" s="115"/>
      <c r="Q26" s="121"/>
    </row>
    <row r="27" spans="2:17" ht="33">
      <c r="B27" s="177" t="s">
        <v>461</v>
      </c>
      <c r="C27" s="178" t="s">
        <v>462</v>
      </c>
      <c r="D27" s="179" t="s">
        <v>201</v>
      </c>
      <c r="E27" s="119"/>
      <c r="F27" s="114"/>
      <c r="G27" s="114"/>
      <c r="H27" s="114"/>
      <c r="I27" s="114"/>
      <c r="J27" s="114"/>
      <c r="K27" s="114"/>
      <c r="L27" s="114"/>
      <c r="M27" s="115"/>
      <c r="N27" s="115"/>
      <c r="O27" s="115"/>
      <c r="P27" s="115"/>
      <c r="Q27" s="180">
        <v>5.77</v>
      </c>
    </row>
    <row r="28" spans="2:17" ht="33">
      <c r="B28" s="177" t="s">
        <v>461</v>
      </c>
      <c r="C28" s="178" t="s">
        <v>463</v>
      </c>
      <c r="D28" s="179" t="s">
        <v>201</v>
      </c>
      <c r="E28" s="119"/>
      <c r="F28" s="114"/>
      <c r="G28" s="114"/>
      <c r="H28" s="114"/>
      <c r="I28" s="114"/>
      <c r="J28" s="114"/>
      <c r="K28" s="114"/>
      <c r="L28" s="114"/>
      <c r="M28" s="115"/>
      <c r="N28" s="115"/>
      <c r="O28" s="115"/>
      <c r="P28" s="115"/>
      <c r="Q28" s="180">
        <v>-0.23499999999999999</v>
      </c>
    </row>
    <row r="29" spans="2:17" ht="16.5">
      <c r="B29" s="177" t="s">
        <v>461</v>
      </c>
      <c r="C29" s="178" t="s">
        <v>103</v>
      </c>
      <c r="D29" s="179" t="s">
        <v>201</v>
      </c>
      <c r="E29" s="119"/>
      <c r="F29" s="114"/>
      <c r="G29" s="114"/>
      <c r="H29" s="114"/>
      <c r="I29" s="114"/>
      <c r="J29" s="114"/>
      <c r="K29" s="114"/>
      <c r="L29" s="114"/>
      <c r="M29" s="115"/>
      <c r="N29" s="115"/>
      <c r="O29" s="115"/>
      <c r="P29" s="115"/>
      <c r="Q29" s="180">
        <v>0.17</v>
      </c>
    </row>
    <row r="30" spans="2:17" ht="33">
      <c r="B30" s="177" t="s">
        <v>461</v>
      </c>
      <c r="C30" s="178" t="s">
        <v>476</v>
      </c>
      <c r="D30" s="179" t="s">
        <v>201</v>
      </c>
      <c r="E30" s="119"/>
      <c r="F30" s="114"/>
      <c r="G30" s="114"/>
      <c r="H30" s="114"/>
      <c r="I30" s="114"/>
      <c r="J30" s="114"/>
      <c r="K30" s="114"/>
      <c r="L30" s="114"/>
      <c r="M30" s="115"/>
      <c r="N30" s="115"/>
      <c r="O30" s="115"/>
      <c r="P30" s="115"/>
      <c r="Q30" s="180">
        <v>0</v>
      </c>
    </row>
    <row r="31" spans="2:17" ht="15">
      <c r="B31" s="116">
        <f>B26+1</f>
        <v>20</v>
      </c>
      <c r="C31" s="101" t="s">
        <v>166</v>
      </c>
      <c r="D31" s="116" t="s">
        <v>201</v>
      </c>
      <c r="E31" s="128">
        <v>14.706651531965331</v>
      </c>
      <c r="F31" s="128">
        <v>20.208994779470718</v>
      </c>
      <c r="G31" s="128">
        <v>16.755637518011</v>
      </c>
      <c r="H31" s="128">
        <v>19.779433152413578</v>
      </c>
      <c r="I31" s="128">
        <v>19.205020818140671</v>
      </c>
      <c r="J31" s="128">
        <v>2.9008291519781175</v>
      </c>
      <c r="K31" s="128">
        <v>1.3580186388148183</v>
      </c>
      <c r="L31" s="128">
        <v>15.122665674203109</v>
      </c>
      <c r="M31" s="128">
        <v>18.063128648888878</v>
      </c>
      <c r="N31" s="128">
        <v>19.48264476608561</v>
      </c>
      <c r="O31" s="128">
        <v>16.160588960000013</v>
      </c>
      <c r="P31" s="128">
        <v>10.419153143307017</v>
      </c>
      <c r="Q31" s="128">
        <v>179.86776678327882</v>
      </c>
    </row>
    <row r="32" spans="2:17" ht="15">
      <c r="B32" s="116">
        <f>B31+1</f>
        <v>21</v>
      </c>
      <c r="C32" s="101" t="s">
        <v>202</v>
      </c>
      <c r="D32" s="116" t="s">
        <v>201</v>
      </c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23"/>
    </row>
  </sheetData>
  <pageMargins left="0.2" right="0.2" top="0.25" bottom="0.2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16"/>
  <sheetViews>
    <sheetView showGridLines="0" view="pageBreakPreview" zoomScale="80" zoomScaleNormal="95" zoomScaleSheetLayoutView="80" workbookViewId="0">
      <selection activeCell="H10" sqref="H10"/>
    </sheetView>
  </sheetViews>
  <sheetFormatPr defaultColWidth="9.28515625" defaultRowHeight="14.25"/>
  <cols>
    <col min="1" max="1" width="9.28515625" style="5"/>
    <col min="2" max="2" width="7.28515625" style="5" customWidth="1"/>
    <col min="3" max="3" width="29.42578125" style="5" customWidth="1"/>
    <col min="4" max="4" width="14.42578125" style="5" customWidth="1"/>
    <col min="5" max="7" width="14.7109375" style="5" customWidth="1"/>
    <col min="8" max="16384" width="9.28515625" style="5"/>
  </cols>
  <sheetData>
    <row r="1" spans="2:7" ht="15">
      <c r="C1" s="39"/>
      <c r="D1" s="39"/>
      <c r="E1" s="39"/>
      <c r="F1" s="39"/>
      <c r="G1" s="39"/>
    </row>
    <row r="2" spans="2:7" ht="15">
      <c r="C2" s="39"/>
      <c r="D2" s="39"/>
      <c r="E2" s="35" t="s">
        <v>396</v>
      </c>
      <c r="F2" s="39"/>
    </row>
    <row r="3" spans="2:7" ht="15">
      <c r="C3" s="35"/>
      <c r="D3" s="35"/>
      <c r="E3" s="35" t="s">
        <v>467</v>
      </c>
      <c r="F3" s="35"/>
    </row>
    <row r="4" spans="2:7" ht="15">
      <c r="B4" s="245"/>
      <c r="C4" s="245"/>
      <c r="E4" s="245" t="s">
        <v>372</v>
      </c>
      <c r="F4" s="38"/>
    </row>
    <row r="5" spans="2:7" ht="15">
      <c r="B5" s="38"/>
      <c r="C5" s="38"/>
      <c r="D5" s="38"/>
      <c r="E5" s="38"/>
      <c r="F5" s="38"/>
      <c r="G5" s="38"/>
    </row>
    <row r="6" spans="2:7" ht="15">
      <c r="B6" s="267" t="s">
        <v>66</v>
      </c>
      <c r="C6" s="267"/>
      <c r="D6" s="267"/>
      <c r="E6" s="267"/>
      <c r="F6" s="267"/>
      <c r="G6" s="267"/>
    </row>
    <row r="7" spans="2:7">
      <c r="G7" s="239" t="s">
        <v>473</v>
      </c>
    </row>
    <row r="8" spans="2:7" ht="15" customHeight="1">
      <c r="B8" s="268" t="s">
        <v>189</v>
      </c>
      <c r="C8" s="268" t="s">
        <v>16</v>
      </c>
      <c r="D8" s="269" t="s">
        <v>1</v>
      </c>
      <c r="E8" s="264" t="s">
        <v>397</v>
      </c>
      <c r="F8" s="265"/>
      <c r="G8" s="266"/>
    </row>
    <row r="9" spans="2:7" ht="30">
      <c r="B9" s="268"/>
      <c r="C9" s="268"/>
      <c r="D9" s="270"/>
      <c r="E9" s="17" t="s">
        <v>365</v>
      </c>
      <c r="F9" s="17" t="s">
        <v>233</v>
      </c>
      <c r="G9" s="17" t="s">
        <v>204</v>
      </c>
    </row>
    <row r="10" spans="2:7" ht="15">
      <c r="B10" s="268"/>
      <c r="C10" s="268"/>
      <c r="D10" s="271"/>
      <c r="E10" s="17" t="s">
        <v>8</v>
      </c>
      <c r="F10" s="17" t="s">
        <v>10</v>
      </c>
      <c r="G10" s="17" t="s">
        <v>226</v>
      </c>
    </row>
    <row r="11" spans="2:7">
      <c r="B11" s="22">
        <v>1</v>
      </c>
      <c r="C11" s="31" t="s">
        <v>67</v>
      </c>
      <c r="D11" s="31" t="s">
        <v>22</v>
      </c>
      <c r="E11" s="143">
        <v>78.569999999999993</v>
      </c>
      <c r="F11" s="159">
        <f>F2.1!D35</f>
        <v>85.031173274864841</v>
      </c>
      <c r="G11" s="159">
        <f>F11</f>
        <v>85.031173274864841</v>
      </c>
    </row>
    <row r="12" spans="2:7">
      <c r="B12" s="22">
        <f>B11+1</f>
        <v>2</v>
      </c>
      <c r="C12" s="40" t="s">
        <v>234</v>
      </c>
      <c r="D12" s="40" t="s">
        <v>23</v>
      </c>
      <c r="E12" s="149">
        <v>10.02</v>
      </c>
      <c r="F12" s="160">
        <f>F2.2!D40</f>
        <v>6.7638006840560996</v>
      </c>
      <c r="G12" s="159">
        <f t="shared" ref="G12:G13" si="0">F12</f>
        <v>6.7638006840560996</v>
      </c>
    </row>
    <row r="13" spans="2:7">
      <c r="B13" s="22">
        <f>B12+1</f>
        <v>3</v>
      </c>
      <c r="C13" s="31" t="s">
        <v>207</v>
      </c>
      <c r="D13" s="31" t="s">
        <v>263</v>
      </c>
      <c r="E13" s="143">
        <v>6.11</v>
      </c>
      <c r="F13" s="159">
        <f>F2.3!D18</f>
        <v>8.4699145830313025</v>
      </c>
      <c r="G13" s="159">
        <f t="shared" si="0"/>
        <v>8.4699145830313025</v>
      </c>
    </row>
    <row r="14" spans="2:7" ht="15">
      <c r="B14" s="22">
        <f>B13+1</f>
        <v>4</v>
      </c>
      <c r="C14" s="31" t="s">
        <v>68</v>
      </c>
      <c r="D14" s="31"/>
      <c r="E14" s="161">
        <v>93.76</v>
      </c>
      <c r="F14" s="161">
        <f>ROUND(SUM(F11:F13),2)</f>
        <v>100.26</v>
      </c>
      <c r="G14" s="161">
        <f>ROUND(SUM(G11:G13),2)</f>
        <v>100.26</v>
      </c>
    </row>
    <row r="15" spans="2:7">
      <c r="B15" s="51" t="s">
        <v>235</v>
      </c>
      <c r="C15" s="52"/>
      <c r="D15" s="49"/>
      <c r="E15" s="49"/>
      <c r="F15" s="49"/>
      <c r="G15" s="50"/>
    </row>
    <row r="16" spans="2:7">
      <c r="B16" s="53">
        <v>1</v>
      </c>
      <c r="C16" s="52" t="s">
        <v>236</v>
      </c>
    </row>
  </sheetData>
  <mergeCells count="5">
    <mergeCell ref="B6:G6"/>
    <mergeCell ref="B8:B10"/>
    <mergeCell ref="C8:C10"/>
    <mergeCell ref="E8:G8"/>
    <mergeCell ref="D8:D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E38"/>
  <sheetViews>
    <sheetView showGridLines="0" view="pageBreakPreview" topLeftCell="A13" zoomScaleNormal="95" zoomScaleSheetLayoutView="100" workbookViewId="0">
      <selection activeCell="H10" sqref="H10"/>
    </sheetView>
  </sheetViews>
  <sheetFormatPr defaultColWidth="9.28515625" defaultRowHeight="14.25"/>
  <cols>
    <col min="1" max="1" width="6.7109375" style="15" customWidth="1"/>
    <col min="2" max="2" width="7" style="15" customWidth="1"/>
    <col min="3" max="3" width="46" style="15" customWidth="1"/>
    <col min="4" max="4" width="10.7109375" style="15" customWidth="1"/>
    <col min="5" max="16384" width="9.28515625" style="15"/>
  </cols>
  <sheetData>
    <row r="2" spans="1:5" ht="14.25" customHeight="1">
      <c r="A2" s="35"/>
      <c r="B2" s="273" t="s">
        <v>396</v>
      </c>
      <c r="C2" s="273"/>
      <c r="D2" s="273"/>
    </row>
    <row r="3" spans="1:5" ht="14.25" customHeight="1">
      <c r="A3" s="35"/>
      <c r="B3" s="273" t="s">
        <v>467</v>
      </c>
      <c r="C3" s="273"/>
      <c r="D3" s="273"/>
    </row>
    <row r="4" spans="1:5" s="4" customFormat="1" ht="14.25" customHeight="1">
      <c r="A4" s="243"/>
      <c r="B4" s="272" t="s">
        <v>264</v>
      </c>
      <c r="C4" s="272"/>
      <c r="D4" s="272"/>
      <c r="E4" s="250"/>
    </row>
    <row r="5" spans="1:5">
      <c r="D5" s="239" t="s">
        <v>473</v>
      </c>
    </row>
    <row r="6" spans="1:5" ht="29.25" customHeight="1">
      <c r="B6" s="260" t="s">
        <v>2</v>
      </c>
      <c r="C6" s="260" t="s">
        <v>16</v>
      </c>
      <c r="D6" s="17" t="s">
        <v>397</v>
      </c>
    </row>
    <row r="7" spans="1:5" ht="15">
      <c r="B7" s="260"/>
      <c r="C7" s="260"/>
      <c r="D7" s="17" t="s">
        <v>233</v>
      </c>
    </row>
    <row r="8" spans="1:5" ht="15" customHeight="1">
      <c r="B8" s="274"/>
      <c r="C8" s="260"/>
      <c r="D8" s="17" t="s">
        <v>10</v>
      </c>
    </row>
    <row r="9" spans="1:5">
      <c r="B9" s="2">
        <v>1</v>
      </c>
      <c r="C9" s="44" t="s">
        <v>71</v>
      </c>
      <c r="D9" s="220">
        <v>46.00979923837464</v>
      </c>
    </row>
    <row r="10" spans="1:5">
      <c r="B10" s="2">
        <v>2</v>
      </c>
      <c r="C10" s="44" t="s">
        <v>72</v>
      </c>
      <c r="D10" s="220">
        <v>4.1304315394390629</v>
      </c>
    </row>
    <row r="11" spans="1:5">
      <c r="B11" s="2">
        <v>3</v>
      </c>
      <c r="C11" s="3" t="s">
        <v>73</v>
      </c>
      <c r="D11" s="220">
        <v>0.51187429359748104</v>
      </c>
    </row>
    <row r="12" spans="1:5">
      <c r="B12" s="2">
        <v>4</v>
      </c>
      <c r="C12" s="44" t="s">
        <v>74</v>
      </c>
      <c r="D12" s="220">
        <v>0.35824267095783363</v>
      </c>
    </row>
    <row r="13" spans="1:5">
      <c r="B13" s="2">
        <v>5</v>
      </c>
      <c r="C13" s="44" t="s">
        <v>75</v>
      </c>
      <c r="D13" s="220">
        <v>4.4803523682936382E-5</v>
      </c>
    </row>
    <row r="14" spans="1:5">
      <c r="B14" s="2">
        <v>6</v>
      </c>
      <c r="C14" s="3" t="s">
        <v>76</v>
      </c>
      <c r="D14" s="220">
        <v>8.0920346354604131</v>
      </c>
    </row>
    <row r="15" spans="1:5">
      <c r="B15" s="2">
        <v>7</v>
      </c>
      <c r="C15" s="44" t="s">
        <v>77</v>
      </c>
      <c r="D15" s="220">
        <v>7.8942691694705029</v>
      </c>
    </row>
    <row r="16" spans="1:5">
      <c r="B16" s="2">
        <v>8</v>
      </c>
      <c r="C16" s="44" t="s">
        <v>78</v>
      </c>
      <c r="D16" s="220">
        <v>1.4459524069109209</v>
      </c>
    </row>
    <row r="17" spans="2:4">
      <c r="B17" s="2">
        <v>9</v>
      </c>
      <c r="C17" s="44" t="s">
        <v>79</v>
      </c>
      <c r="D17" s="220">
        <v>0</v>
      </c>
    </row>
    <row r="18" spans="2:4">
      <c r="B18" s="2">
        <v>10</v>
      </c>
      <c r="C18" s="44" t="s">
        <v>80</v>
      </c>
      <c r="D18" s="220">
        <v>0</v>
      </c>
    </row>
    <row r="19" spans="2:4">
      <c r="B19" s="2">
        <v>11</v>
      </c>
      <c r="C19" s="44" t="s">
        <v>81</v>
      </c>
      <c r="D19" s="220">
        <v>1.0472980266018633E-4</v>
      </c>
    </row>
    <row r="20" spans="2:4">
      <c r="B20" s="2">
        <v>12</v>
      </c>
      <c r="C20" s="44" t="s">
        <v>82</v>
      </c>
      <c r="D20" s="220">
        <v>0.75133358767683645</v>
      </c>
    </row>
    <row r="21" spans="2:4">
      <c r="B21" s="2">
        <v>13</v>
      </c>
      <c r="C21" s="44" t="s">
        <v>83</v>
      </c>
      <c r="D21" s="220">
        <v>0</v>
      </c>
    </row>
    <row r="22" spans="2:4">
      <c r="B22" s="2">
        <v>14</v>
      </c>
      <c r="C22" s="44" t="s">
        <v>84</v>
      </c>
      <c r="D22" s="220">
        <v>0</v>
      </c>
    </row>
    <row r="23" spans="2:4">
      <c r="B23" s="2">
        <v>15</v>
      </c>
      <c r="C23" s="44" t="s">
        <v>85</v>
      </c>
      <c r="D23" s="220">
        <v>0</v>
      </c>
    </row>
    <row r="24" spans="2:4">
      <c r="B24" s="2">
        <v>16</v>
      </c>
      <c r="C24" s="44" t="s">
        <v>86</v>
      </c>
      <c r="D24" s="220">
        <v>0</v>
      </c>
    </row>
    <row r="25" spans="2:4" ht="15">
      <c r="B25" s="2">
        <v>17</v>
      </c>
      <c r="C25" s="44" t="s">
        <v>87</v>
      </c>
      <c r="D25" s="153">
        <f>SUM(D9:D24)</f>
        <v>69.194087075214043</v>
      </c>
    </row>
    <row r="26" spans="2:4">
      <c r="B26" s="2">
        <v>18</v>
      </c>
      <c r="C26" s="44" t="s">
        <v>88</v>
      </c>
      <c r="D26" s="220">
        <v>0</v>
      </c>
    </row>
    <row r="27" spans="2:4">
      <c r="B27" s="2">
        <f>+B26+0.1</f>
        <v>18.100000000000001</v>
      </c>
      <c r="C27" s="44" t="s">
        <v>89</v>
      </c>
      <c r="D27" s="220">
        <v>3.3970861996508019</v>
      </c>
    </row>
    <row r="28" spans="2:4">
      <c r="B28" s="2">
        <f>+B27+0.1</f>
        <v>18.200000000000003</v>
      </c>
      <c r="C28" s="44" t="s">
        <v>90</v>
      </c>
      <c r="D28" s="220">
        <v>0</v>
      </c>
    </row>
    <row r="29" spans="2:4">
      <c r="B29" s="2">
        <f>+B28+0.1</f>
        <v>18.300000000000004</v>
      </c>
      <c r="C29" s="44" t="s">
        <v>91</v>
      </c>
      <c r="D29" s="220">
        <v>0</v>
      </c>
    </row>
    <row r="30" spans="2:4">
      <c r="B30" s="2">
        <f>+B29+0.1</f>
        <v>18.400000000000006</v>
      </c>
      <c r="C30" s="44" t="s">
        <v>92</v>
      </c>
      <c r="D30" s="220">
        <v>12.44</v>
      </c>
    </row>
    <row r="31" spans="2:4">
      <c r="B31" s="2">
        <v>19</v>
      </c>
      <c r="C31" s="48" t="s">
        <v>388</v>
      </c>
      <c r="D31" s="220">
        <v>0</v>
      </c>
    </row>
    <row r="32" spans="2:4">
      <c r="B32" s="2">
        <v>20</v>
      </c>
      <c r="C32" s="44" t="s">
        <v>93</v>
      </c>
      <c r="D32" s="220">
        <v>0</v>
      </c>
    </row>
    <row r="33" spans="2:4" ht="15">
      <c r="B33" s="16">
        <v>21</v>
      </c>
      <c r="C33" s="45" t="s">
        <v>94</v>
      </c>
      <c r="D33" s="142">
        <f>SUM(D25:D32)</f>
        <v>85.031173274864841</v>
      </c>
    </row>
    <row r="34" spans="2:4">
      <c r="B34" s="2">
        <v>22</v>
      </c>
      <c r="C34" s="44" t="s">
        <v>15</v>
      </c>
      <c r="D34" s="140">
        <v>0</v>
      </c>
    </row>
    <row r="35" spans="2:4" ht="15">
      <c r="B35" s="16">
        <v>23</v>
      </c>
      <c r="C35" s="21" t="s">
        <v>95</v>
      </c>
      <c r="D35" s="129">
        <f>D33-D34</f>
        <v>85.031173274864841</v>
      </c>
    </row>
    <row r="37" spans="2:4" ht="15">
      <c r="B37" s="46"/>
      <c r="D37" s="163"/>
    </row>
    <row r="38" spans="2:4">
      <c r="B38" s="47"/>
    </row>
  </sheetData>
  <mergeCells count="5">
    <mergeCell ref="B4:D4"/>
    <mergeCell ref="B3:D3"/>
    <mergeCell ref="B2:D2"/>
    <mergeCell ref="B6:B8"/>
    <mergeCell ref="C6:C8"/>
  </mergeCells>
  <pageMargins left="0.75" right="0.25" top="0.25" bottom="0.25" header="0.5" footer="0.5"/>
  <pageSetup paperSize="9" scale="105" fitToHeight="0" orientation="landscape" r:id="rId1"/>
  <headerFooter alignWithMargins="0"/>
  <rowBreaks count="1" manualBreakCount="1">
    <brk id="36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40"/>
  <sheetViews>
    <sheetView showGridLines="0" view="pageBreakPreview" zoomScaleSheetLayoutView="100" workbookViewId="0">
      <selection activeCell="H10" sqref="H10"/>
    </sheetView>
  </sheetViews>
  <sheetFormatPr defaultColWidth="9.28515625" defaultRowHeight="14.25"/>
  <cols>
    <col min="1" max="1" width="2" style="15" customWidth="1"/>
    <col min="2" max="2" width="7" style="15" customWidth="1"/>
    <col min="3" max="3" width="50.28515625" style="15" customWidth="1"/>
    <col min="4" max="4" width="15.7109375" style="15" customWidth="1"/>
    <col min="5" max="16384" width="9.28515625" style="15"/>
  </cols>
  <sheetData>
    <row r="2" spans="2:5" ht="14.25" customHeight="1">
      <c r="B2" s="273" t="s">
        <v>396</v>
      </c>
      <c r="C2" s="273"/>
      <c r="D2" s="273"/>
    </row>
    <row r="3" spans="2:5" ht="14.25" customHeight="1">
      <c r="B3" s="273" t="s">
        <v>467</v>
      </c>
      <c r="C3" s="273"/>
      <c r="D3" s="273"/>
    </row>
    <row r="4" spans="2:5" s="4" customFormat="1" ht="15">
      <c r="B4" s="273" t="s">
        <v>399</v>
      </c>
      <c r="C4" s="273"/>
      <c r="D4" s="273"/>
      <c r="E4" s="250"/>
    </row>
    <row r="6" spans="2:5">
      <c r="D6" s="244" t="s">
        <v>473</v>
      </c>
    </row>
    <row r="7" spans="2:5" ht="12.75" customHeight="1">
      <c r="B7" s="262" t="s">
        <v>189</v>
      </c>
      <c r="C7" s="260" t="s">
        <v>16</v>
      </c>
      <c r="D7" s="17" t="s">
        <v>397</v>
      </c>
    </row>
    <row r="8" spans="2:5" ht="15">
      <c r="B8" s="262"/>
      <c r="C8" s="260"/>
      <c r="D8" s="17" t="s">
        <v>233</v>
      </c>
    </row>
    <row r="9" spans="2:5" ht="15" customHeight="1">
      <c r="B9" s="262"/>
      <c r="C9" s="260"/>
      <c r="D9" s="17" t="s">
        <v>10</v>
      </c>
    </row>
    <row r="10" spans="2:5">
      <c r="B10" s="3">
        <v>1</v>
      </c>
      <c r="C10" s="54" t="s">
        <v>96</v>
      </c>
      <c r="D10" s="221">
        <v>0.36675678645897924</v>
      </c>
    </row>
    <row r="11" spans="2:5">
      <c r="B11" s="3">
        <v>2</v>
      </c>
      <c r="C11" s="55" t="s">
        <v>97</v>
      </c>
      <c r="D11" s="221">
        <v>7.8581661008280318E-2</v>
      </c>
    </row>
    <row r="12" spans="2:5">
      <c r="B12" s="3">
        <v>3</v>
      </c>
      <c r="C12" s="55" t="s">
        <v>98</v>
      </c>
      <c r="D12" s="221">
        <v>2.5948422080650586E-2</v>
      </c>
    </row>
    <row r="13" spans="2:5">
      <c r="B13" s="3">
        <v>4</v>
      </c>
      <c r="C13" s="55" t="s">
        <v>99</v>
      </c>
      <c r="D13" s="221">
        <v>1.2807075005473951E-2</v>
      </c>
    </row>
    <row r="14" spans="2:5">
      <c r="B14" s="3">
        <v>5</v>
      </c>
      <c r="C14" s="55" t="s">
        <v>100</v>
      </c>
      <c r="D14" s="221">
        <v>0.30469723326203729</v>
      </c>
    </row>
    <row r="15" spans="2:5">
      <c r="B15" s="3">
        <v>6</v>
      </c>
      <c r="C15" s="55" t="s">
        <v>101</v>
      </c>
      <c r="D15" s="221">
        <v>1.6646714783061897E-2</v>
      </c>
    </row>
    <row r="16" spans="2:5">
      <c r="B16" s="3">
        <v>7</v>
      </c>
      <c r="C16" s="55" t="s">
        <v>102</v>
      </c>
      <c r="D16" s="221">
        <v>1.9171691001248987</v>
      </c>
    </row>
    <row r="17" spans="2:4">
      <c r="B17" s="3">
        <v>8</v>
      </c>
      <c r="C17" s="55" t="s">
        <v>103</v>
      </c>
      <c r="D17" s="221">
        <v>2.1159025428433092E-4</v>
      </c>
    </row>
    <row r="18" spans="2:4">
      <c r="B18" s="3">
        <v>9</v>
      </c>
      <c r="C18" s="55" t="s">
        <v>104</v>
      </c>
      <c r="D18" s="221">
        <v>3.4584721498422364</v>
      </c>
    </row>
    <row r="19" spans="2:4">
      <c r="B19" s="3">
        <v>10</v>
      </c>
      <c r="C19" s="55" t="s">
        <v>105</v>
      </c>
      <c r="D19" s="221">
        <v>2.2615650721790645E-3</v>
      </c>
    </row>
    <row r="20" spans="2:4">
      <c r="B20" s="3">
        <v>11</v>
      </c>
      <c r="C20" s="55" t="s">
        <v>106</v>
      </c>
      <c r="D20" s="221">
        <v>-5.4752074828148757E-4</v>
      </c>
    </row>
    <row r="21" spans="2:4">
      <c r="B21" s="3">
        <v>12</v>
      </c>
      <c r="C21" s="55" t="s">
        <v>107</v>
      </c>
      <c r="D21" s="221">
        <v>0</v>
      </c>
    </row>
    <row r="22" spans="2:4">
      <c r="B22" s="3">
        <v>13</v>
      </c>
      <c r="C22" s="55" t="s">
        <v>108</v>
      </c>
      <c r="D22" s="221">
        <v>3.429422177732273E-3</v>
      </c>
    </row>
    <row r="23" spans="2:4">
      <c r="B23" s="3">
        <v>14</v>
      </c>
      <c r="C23" s="55" t="s">
        <v>109</v>
      </c>
      <c r="D23" s="221">
        <v>1.4925854362276917E-2</v>
      </c>
    </row>
    <row r="24" spans="2:4">
      <c r="B24" s="3">
        <v>15</v>
      </c>
      <c r="C24" s="55" t="s">
        <v>110</v>
      </c>
      <c r="D24" s="221">
        <v>0</v>
      </c>
    </row>
    <row r="25" spans="2:4">
      <c r="B25" s="3">
        <v>16</v>
      </c>
      <c r="C25" s="54" t="s">
        <v>111</v>
      </c>
      <c r="D25" s="221">
        <v>0</v>
      </c>
    </row>
    <row r="26" spans="2:4">
      <c r="B26" s="3">
        <v>17</v>
      </c>
      <c r="C26" s="54" t="s">
        <v>112</v>
      </c>
      <c r="D26" s="221">
        <v>0</v>
      </c>
    </row>
    <row r="27" spans="2:4">
      <c r="B27" s="3">
        <v>18</v>
      </c>
      <c r="C27" s="55" t="s">
        <v>113</v>
      </c>
      <c r="D27" s="221">
        <v>3.6450075825795727E-3</v>
      </c>
    </row>
    <row r="28" spans="2:4">
      <c r="B28" s="3">
        <v>19</v>
      </c>
      <c r="C28" s="55" t="s">
        <v>114</v>
      </c>
      <c r="D28" s="221">
        <v>0.55365919081743842</v>
      </c>
    </row>
    <row r="29" spans="2:4">
      <c r="B29" s="3">
        <v>20</v>
      </c>
      <c r="C29" s="55" t="s">
        <v>115</v>
      </c>
      <c r="D29" s="221">
        <v>0</v>
      </c>
    </row>
    <row r="30" spans="2:4">
      <c r="B30" s="3">
        <v>21</v>
      </c>
      <c r="C30" s="55" t="s">
        <v>116</v>
      </c>
      <c r="D30" s="221">
        <v>0</v>
      </c>
    </row>
    <row r="31" spans="2:4">
      <c r="B31" s="3">
        <v>22</v>
      </c>
      <c r="C31" s="55" t="s">
        <v>117</v>
      </c>
      <c r="D31" s="221">
        <v>0</v>
      </c>
    </row>
    <row r="32" spans="2:4">
      <c r="B32" s="3">
        <v>23</v>
      </c>
      <c r="C32" s="55" t="s">
        <v>118</v>
      </c>
      <c r="D32" s="221">
        <v>0</v>
      </c>
    </row>
    <row r="33" spans="2:4">
      <c r="B33" s="3">
        <v>24</v>
      </c>
      <c r="C33" s="55" t="s">
        <v>119</v>
      </c>
      <c r="D33" s="221">
        <v>5.1364319722725068E-3</v>
      </c>
    </row>
    <row r="34" spans="2:4">
      <c r="B34" s="3">
        <v>25</v>
      </c>
      <c r="C34" s="55" t="s">
        <v>120</v>
      </c>
      <c r="D34" s="221">
        <v>0</v>
      </c>
    </row>
    <row r="35" spans="2:4">
      <c r="B35" s="3">
        <v>26</v>
      </c>
      <c r="C35" s="55" t="s">
        <v>121</v>
      </c>
      <c r="D35" s="221">
        <v>0</v>
      </c>
    </row>
    <row r="36" spans="2:4">
      <c r="B36" s="3">
        <v>27</v>
      </c>
      <c r="C36" s="55" t="s">
        <v>122</v>
      </c>
      <c r="D36" s="221">
        <v>0</v>
      </c>
    </row>
    <row r="37" spans="2:4">
      <c r="B37" s="3">
        <v>28</v>
      </c>
      <c r="C37" s="55" t="s">
        <v>93</v>
      </c>
      <c r="D37" s="221">
        <v>0</v>
      </c>
    </row>
    <row r="38" spans="2:4" ht="15">
      <c r="B38" s="3">
        <v>29</v>
      </c>
      <c r="C38" s="56" t="s">
        <v>123</v>
      </c>
      <c r="D38" s="129">
        <f>SUM(D10:D37)</f>
        <v>6.7638006840560996</v>
      </c>
    </row>
    <row r="39" spans="2:4">
      <c r="B39" s="3">
        <v>30</v>
      </c>
      <c r="C39" s="44" t="s">
        <v>15</v>
      </c>
      <c r="D39" s="140"/>
    </row>
    <row r="40" spans="2:4" ht="15">
      <c r="B40" s="3">
        <v>31</v>
      </c>
      <c r="C40" s="21" t="s">
        <v>124</v>
      </c>
      <c r="D40" s="129">
        <f>D38-D39</f>
        <v>6.7638006840560996</v>
      </c>
    </row>
  </sheetData>
  <mergeCells count="5">
    <mergeCell ref="B2:D2"/>
    <mergeCell ref="B3:D3"/>
    <mergeCell ref="B4:D4"/>
    <mergeCell ref="B7:B9"/>
    <mergeCell ref="C7:C9"/>
  </mergeCells>
  <pageMargins left="1.25" right="0.25" top="0" bottom="0" header="0.5" footer="0.5"/>
  <pageSetup paperSize="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2:E22"/>
  <sheetViews>
    <sheetView showGridLines="0" view="pageBreakPreview" zoomScaleNormal="98" zoomScaleSheetLayoutView="100" workbookViewId="0">
      <selection activeCell="H10" sqref="H10"/>
    </sheetView>
  </sheetViews>
  <sheetFormatPr defaultColWidth="9.28515625" defaultRowHeight="14.25"/>
  <cols>
    <col min="1" max="1" width="4.5703125" style="15" customWidth="1"/>
    <col min="2" max="2" width="8.7109375" style="57" customWidth="1"/>
    <col min="3" max="3" width="45.7109375" style="15" customWidth="1"/>
    <col min="4" max="4" width="15.7109375" style="15" customWidth="1"/>
    <col min="5" max="16384" width="9.28515625" style="15"/>
  </cols>
  <sheetData>
    <row r="2" spans="2:5" ht="14.25" customHeight="1">
      <c r="B2" s="273" t="s">
        <v>396</v>
      </c>
      <c r="C2" s="273"/>
      <c r="D2" s="273"/>
    </row>
    <row r="3" spans="2:5" ht="14.25" customHeight="1">
      <c r="B3" s="273" t="s">
        <v>467</v>
      </c>
      <c r="C3" s="273"/>
      <c r="D3" s="273"/>
    </row>
    <row r="4" spans="2:5" s="4" customFormat="1" ht="14.25" customHeight="1">
      <c r="B4" s="273" t="s">
        <v>265</v>
      </c>
      <c r="C4" s="273"/>
      <c r="D4" s="273"/>
      <c r="E4" s="250"/>
    </row>
    <row r="6" spans="2:5">
      <c r="D6" s="244" t="s">
        <v>473</v>
      </c>
    </row>
    <row r="7" spans="2:5" ht="12.75" customHeight="1">
      <c r="B7" s="262" t="s">
        <v>189</v>
      </c>
      <c r="C7" s="260" t="s">
        <v>16</v>
      </c>
      <c r="D7" s="17" t="s">
        <v>397</v>
      </c>
    </row>
    <row r="8" spans="2:5" ht="15">
      <c r="B8" s="262"/>
      <c r="C8" s="260"/>
      <c r="D8" s="17" t="s">
        <v>233</v>
      </c>
    </row>
    <row r="9" spans="2:5" ht="15" customHeight="1">
      <c r="B9" s="262"/>
      <c r="C9" s="260"/>
      <c r="D9" s="17" t="s">
        <v>10</v>
      </c>
    </row>
    <row r="10" spans="2:5">
      <c r="B10" s="2">
        <v>1</v>
      </c>
      <c r="C10" s="55" t="s">
        <v>125</v>
      </c>
      <c r="D10" s="221">
        <v>6.8854178233339454</v>
      </c>
    </row>
    <row r="11" spans="2:5">
      <c r="B11" s="2">
        <v>2</v>
      </c>
      <c r="C11" s="55" t="s">
        <v>126</v>
      </c>
      <c r="D11" s="221">
        <v>0</v>
      </c>
    </row>
    <row r="12" spans="2:5">
      <c r="B12" s="2">
        <v>3</v>
      </c>
      <c r="C12" s="55" t="s">
        <v>127</v>
      </c>
      <c r="D12" s="221">
        <v>1.0655131665006061</v>
      </c>
    </row>
    <row r="13" spans="2:5">
      <c r="B13" s="2">
        <v>4</v>
      </c>
      <c r="C13" s="55" t="s">
        <v>128</v>
      </c>
      <c r="D13" s="221">
        <v>9.2688300000000005E-3</v>
      </c>
    </row>
    <row r="14" spans="2:5">
      <c r="B14" s="2">
        <v>5</v>
      </c>
      <c r="C14" s="55" t="s">
        <v>129</v>
      </c>
      <c r="D14" s="221">
        <v>0.45443399980270338</v>
      </c>
    </row>
    <row r="15" spans="2:5">
      <c r="B15" s="2">
        <v>6</v>
      </c>
      <c r="C15" s="55" t="s">
        <v>130</v>
      </c>
      <c r="D15" s="221">
        <v>9.2350572297795314E-4</v>
      </c>
    </row>
    <row r="16" spans="2:5">
      <c r="B16" s="2">
        <v>7</v>
      </c>
      <c r="C16" s="55" t="s">
        <v>131</v>
      </c>
      <c r="D16" s="221">
        <v>0</v>
      </c>
    </row>
    <row r="17" spans="2:4">
      <c r="B17" s="2">
        <v>8</v>
      </c>
      <c r="C17" s="55" t="s">
        <v>132</v>
      </c>
      <c r="D17" s="221">
        <v>5.435725767106947E-2</v>
      </c>
    </row>
    <row r="18" spans="2:4" ht="15">
      <c r="B18" s="2">
        <v>9</v>
      </c>
      <c r="C18" s="56" t="s">
        <v>133</v>
      </c>
      <c r="D18" s="129">
        <f>SUM(D10:D17)</f>
        <v>8.4699145830313025</v>
      </c>
    </row>
    <row r="19" spans="2:4">
      <c r="B19" s="2"/>
      <c r="C19" s="54"/>
      <c r="D19" s="3"/>
    </row>
    <row r="20" spans="2:4" ht="15">
      <c r="B20" s="2">
        <v>10</v>
      </c>
      <c r="C20" s="58" t="s">
        <v>134</v>
      </c>
      <c r="D20" s="129">
        <f>'F4'!F22</f>
        <v>127.04</v>
      </c>
    </row>
    <row r="21" spans="2:4" ht="28.5">
      <c r="B21" s="2">
        <v>11</v>
      </c>
      <c r="C21" s="58" t="s">
        <v>135</v>
      </c>
      <c r="D21" s="141">
        <f>IFERROR(D18/D20,0)</f>
        <v>6.6671241994893757E-2</v>
      </c>
    </row>
    <row r="22" spans="2:4">
      <c r="B22" s="2"/>
      <c r="C22" s="54"/>
      <c r="D22" s="3"/>
    </row>
  </sheetData>
  <mergeCells count="5">
    <mergeCell ref="B2:D2"/>
    <mergeCell ref="B3:D3"/>
    <mergeCell ref="B4:D4"/>
    <mergeCell ref="B7:B9"/>
    <mergeCell ref="C7:C9"/>
  </mergeCells>
  <pageMargins left="0.5" right="0.5" top="0.5" bottom="0.5" header="0.5" footer="0.5"/>
  <pageSetup paperSize="9" scale="11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1:G16"/>
  <sheetViews>
    <sheetView view="pageBreakPreview" zoomScaleNormal="118" zoomScaleSheetLayoutView="100" workbookViewId="0">
      <selection activeCell="H10" sqref="H10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6.5703125" style="4" customWidth="1"/>
    <col min="8" max="8" width="15.140625" style="4" customWidth="1"/>
    <col min="9" max="9" width="11.7109375" style="4" bestFit="1" customWidth="1"/>
    <col min="10" max="16384" width="9.28515625" style="4"/>
  </cols>
  <sheetData>
    <row r="1" spans="2:7" ht="15">
      <c r="B1" s="59"/>
    </row>
    <row r="2" spans="2:7" ht="14.25" customHeight="1">
      <c r="B2" s="273" t="s">
        <v>396</v>
      </c>
      <c r="C2" s="273"/>
      <c r="D2" s="273"/>
      <c r="E2" s="273"/>
      <c r="F2" s="273"/>
    </row>
    <row r="3" spans="2:7" ht="14.25" customHeight="1">
      <c r="B3" s="273" t="s">
        <v>467</v>
      </c>
      <c r="C3" s="273"/>
      <c r="D3" s="273"/>
      <c r="E3" s="273"/>
      <c r="F3" s="273"/>
    </row>
    <row r="4" spans="2:7" ht="14.25" customHeight="1">
      <c r="B4" s="273" t="s">
        <v>266</v>
      </c>
      <c r="C4" s="273"/>
      <c r="D4" s="273"/>
      <c r="E4" s="273"/>
      <c r="F4" s="273"/>
    </row>
    <row r="5" spans="2:7" ht="15">
      <c r="B5" s="39"/>
      <c r="C5" s="60"/>
      <c r="D5" s="60"/>
      <c r="E5" s="60"/>
      <c r="F5" s="60"/>
    </row>
    <row r="6" spans="2:7">
      <c r="E6" s="276" t="s">
        <v>473</v>
      </c>
      <c r="F6" s="276"/>
      <c r="G6" s="240"/>
    </row>
    <row r="7" spans="2:7" s="15" customFormat="1" ht="15" customHeight="1">
      <c r="B7" s="257" t="s">
        <v>189</v>
      </c>
      <c r="C7" s="260" t="s">
        <v>16</v>
      </c>
      <c r="D7" s="275" t="s">
        <v>397</v>
      </c>
      <c r="E7" s="275"/>
      <c r="F7" s="275"/>
      <c r="G7" s="241"/>
    </row>
    <row r="8" spans="2:7" s="15" customFormat="1" ht="45">
      <c r="B8" s="258"/>
      <c r="C8" s="260"/>
      <c r="D8" s="17" t="s">
        <v>365</v>
      </c>
      <c r="E8" s="17" t="s">
        <v>233</v>
      </c>
      <c r="F8" s="17" t="s">
        <v>204</v>
      </c>
    </row>
    <row r="9" spans="2:7" s="15" customFormat="1" ht="15">
      <c r="B9" s="259"/>
      <c r="C9" s="261"/>
      <c r="D9" s="17" t="s">
        <v>8</v>
      </c>
      <c r="E9" s="17" t="s">
        <v>10</v>
      </c>
      <c r="F9" s="17" t="s">
        <v>226</v>
      </c>
    </row>
    <row r="10" spans="2:7" s="5" customFormat="1">
      <c r="B10" s="62">
        <v>1</v>
      </c>
      <c r="C10" s="29" t="s">
        <v>237</v>
      </c>
      <c r="D10" s="2"/>
      <c r="E10" s="29"/>
      <c r="F10" s="29"/>
    </row>
    <row r="11" spans="2:7" s="5" customFormat="1">
      <c r="B11" s="22">
        <v>2</v>
      </c>
      <c r="C11" s="29" t="s">
        <v>269</v>
      </c>
      <c r="D11" s="2"/>
      <c r="E11" s="124">
        <v>0.04</v>
      </c>
      <c r="F11" s="124">
        <v>0.04</v>
      </c>
    </row>
    <row r="12" spans="2:7" s="5" customFormat="1" ht="15">
      <c r="B12" s="22">
        <v>3</v>
      </c>
      <c r="C12" s="31" t="s">
        <v>221</v>
      </c>
      <c r="D12" s="138"/>
      <c r="E12" s="144">
        <v>0.04</v>
      </c>
      <c r="F12" s="144">
        <v>0.04</v>
      </c>
    </row>
    <row r="13" spans="2:7" s="5" customFormat="1" ht="15">
      <c r="B13" s="22">
        <v>4</v>
      </c>
      <c r="C13" s="29" t="s">
        <v>238</v>
      </c>
      <c r="D13" s="139">
        <f>D10+D11-D12</f>
        <v>0</v>
      </c>
      <c r="E13" s="139">
        <f>E10+E11-E12</f>
        <v>0</v>
      </c>
      <c r="F13" s="139">
        <f>F10+F11-F12</f>
        <v>0</v>
      </c>
    </row>
    <row r="14" spans="2:7" s="35" customFormat="1" ht="15">
      <c r="B14" s="63"/>
      <c r="C14" s="51"/>
      <c r="D14" s="61"/>
      <c r="E14" s="61"/>
      <c r="F14" s="61"/>
    </row>
    <row r="16" spans="2:7">
      <c r="B16" s="64"/>
    </row>
  </sheetData>
  <mergeCells count="7">
    <mergeCell ref="B3:F3"/>
    <mergeCell ref="B2:F2"/>
    <mergeCell ref="B7:B9"/>
    <mergeCell ref="C7:C9"/>
    <mergeCell ref="D7:F7"/>
    <mergeCell ref="B4:F4"/>
    <mergeCell ref="E6:F6"/>
  </mergeCells>
  <pageMargins left="1.27" right="0.25" top="1" bottom="1" header="0.25" footer="0.25"/>
  <pageSetup paperSize="9" scale="13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3"/>
  <sheetViews>
    <sheetView showGridLines="0" view="pageBreakPreview" zoomScale="72" zoomScaleNormal="106" zoomScaleSheetLayoutView="72" workbookViewId="0">
      <selection activeCell="H10" sqref="H10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18.28515625" style="5" customWidth="1"/>
    <col min="4" max="4" width="20.140625" style="5" customWidth="1"/>
    <col min="5" max="5" width="22.7109375" style="5" customWidth="1"/>
    <col min="6" max="6" width="21.42578125" style="5" customWidth="1"/>
    <col min="7" max="7" width="20.5703125" style="5" customWidth="1"/>
    <col min="8" max="8" width="17.7109375" style="5" customWidth="1"/>
    <col min="9" max="9" width="35" style="5" customWidth="1"/>
    <col min="10" max="10" width="18" style="5" customWidth="1"/>
    <col min="11" max="11" width="33.42578125" style="5" customWidth="1"/>
    <col min="12" max="12" width="17" style="5" customWidth="1"/>
    <col min="13" max="13" width="13.28515625" style="5" bestFit="1" customWidth="1"/>
    <col min="14" max="16384" width="9.28515625" style="5"/>
  </cols>
  <sheetData>
    <row r="1" spans="2:13" ht="15">
      <c r="B1" s="26"/>
    </row>
    <row r="2" spans="2:13" ht="15">
      <c r="B2" s="273" t="s">
        <v>396</v>
      </c>
      <c r="C2" s="273"/>
      <c r="D2" s="273"/>
      <c r="E2" s="273"/>
      <c r="F2" s="273"/>
      <c r="G2" s="273"/>
      <c r="H2" s="273"/>
      <c r="I2" s="273"/>
      <c r="J2" s="273"/>
      <c r="K2" s="273"/>
      <c r="L2" s="273"/>
    </row>
    <row r="3" spans="2:13" ht="15">
      <c r="H3" s="35" t="s">
        <v>467</v>
      </c>
      <c r="I3" s="36"/>
    </row>
    <row r="4" spans="2:13" ht="15">
      <c r="H4" s="38" t="s">
        <v>267</v>
      </c>
      <c r="I4" s="38"/>
    </row>
    <row r="5" spans="2:13">
      <c r="K5" s="276" t="s">
        <v>473</v>
      </c>
      <c r="L5" s="276"/>
    </row>
    <row r="6" spans="2:13" ht="74.25" customHeight="1">
      <c r="B6" s="17" t="s">
        <v>189</v>
      </c>
      <c r="C6" s="25" t="s">
        <v>239</v>
      </c>
      <c r="D6" s="33" t="s">
        <v>241</v>
      </c>
      <c r="E6" s="25" t="s">
        <v>240</v>
      </c>
      <c r="F6" s="33" t="s">
        <v>243</v>
      </c>
      <c r="G6" s="33" t="s">
        <v>246</v>
      </c>
      <c r="H6" s="33" t="s">
        <v>247</v>
      </c>
      <c r="I6" s="33" t="s">
        <v>260</v>
      </c>
      <c r="J6" s="25" t="s">
        <v>242</v>
      </c>
      <c r="K6" s="33" t="s">
        <v>248</v>
      </c>
      <c r="L6" s="33" t="s">
        <v>182</v>
      </c>
      <c r="M6" s="27"/>
    </row>
    <row r="7" spans="2:13" s="35" customFormat="1" ht="15">
      <c r="B7" s="22"/>
      <c r="C7" s="33" t="s">
        <v>397</v>
      </c>
      <c r="D7" s="32"/>
      <c r="E7" s="32"/>
      <c r="F7" s="32"/>
      <c r="G7" s="32"/>
      <c r="H7" s="32"/>
      <c r="I7" s="32"/>
      <c r="J7" s="32"/>
      <c r="K7" s="33"/>
      <c r="L7" s="34"/>
      <c r="M7" s="26"/>
    </row>
    <row r="8" spans="2:13">
      <c r="B8" s="22">
        <v>1</v>
      </c>
      <c r="C8" s="22"/>
      <c r="D8" s="29"/>
      <c r="E8" s="29"/>
      <c r="F8" s="137"/>
      <c r="G8" s="137"/>
      <c r="H8" s="137"/>
      <c r="I8" s="29"/>
      <c r="J8" s="29"/>
      <c r="K8" s="29"/>
      <c r="L8" s="29"/>
    </row>
    <row r="9" spans="2:13">
      <c r="B9" s="22">
        <v>2</v>
      </c>
      <c r="C9" s="22"/>
      <c r="D9" s="29"/>
      <c r="E9" s="29"/>
      <c r="F9" s="137"/>
      <c r="G9" s="137"/>
      <c r="H9" s="137"/>
      <c r="I9" s="29"/>
      <c r="J9" s="29"/>
      <c r="K9" s="29"/>
      <c r="L9" s="29"/>
    </row>
    <row r="10" spans="2:13">
      <c r="B10" s="22">
        <v>3</v>
      </c>
      <c r="C10" s="22"/>
      <c r="D10" s="29"/>
      <c r="E10" s="137"/>
      <c r="F10" s="137"/>
      <c r="G10" s="137">
        <v>0.04</v>
      </c>
      <c r="H10" s="137">
        <v>0.04</v>
      </c>
      <c r="I10" s="29"/>
      <c r="J10" s="29"/>
      <c r="K10" s="29"/>
      <c r="L10" s="29"/>
    </row>
    <row r="11" spans="2:13">
      <c r="B11" s="29"/>
      <c r="C11" s="29" t="s">
        <v>7</v>
      </c>
      <c r="D11" s="29"/>
      <c r="E11" s="29"/>
      <c r="F11" s="29"/>
      <c r="G11" s="29"/>
      <c r="H11" s="29"/>
      <c r="I11" s="29"/>
      <c r="J11" s="29"/>
      <c r="K11" s="29"/>
      <c r="L11" s="29"/>
    </row>
    <row r="12" spans="2:13" ht="15">
      <c r="B12" s="29"/>
      <c r="C12" s="25" t="s">
        <v>137</v>
      </c>
      <c r="D12" s="147"/>
      <c r="E12" s="137"/>
      <c r="F12" s="130">
        <f>SUM(F8:F11)</f>
        <v>0</v>
      </c>
      <c r="G12" s="130">
        <f>ROUND(SUM(G8:G11),2)</f>
        <v>0.04</v>
      </c>
      <c r="H12" s="130">
        <f>ROUND(SUM(H8:H11),2)</f>
        <v>0.04</v>
      </c>
      <c r="I12" s="29"/>
      <c r="J12" s="29"/>
      <c r="K12" s="29"/>
      <c r="L12" s="29"/>
    </row>
    <row r="13" spans="2:13">
      <c r="B13" s="63" t="s">
        <v>244</v>
      </c>
      <c r="C13" s="52" t="s">
        <v>245</v>
      </c>
    </row>
  </sheetData>
  <mergeCells count="2">
    <mergeCell ref="B2:L2"/>
    <mergeCell ref="K5:L5"/>
  </mergeCells>
  <pageMargins left="0.02" right="0" top="0.75" bottom="0.75" header="0.25" footer="0.25"/>
  <pageSetup paperSize="9" scale="6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2:E21"/>
  <sheetViews>
    <sheetView showGridLines="0" view="pageBreakPreview" topLeftCell="A4" zoomScaleSheetLayoutView="100" workbookViewId="0">
      <selection activeCell="H10" sqref="H10"/>
    </sheetView>
  </sheetViews>
  <sheetFormatPr defaultColWidth="9.28515625" defaultRowHeight="14.25"/>
  <cols>
    <col min="1" max="2" width="9.28515625" style="96"/>
    <col min="3" max="3" width="42" style="96" customWidth="1"/>
    <col min="4" max="5" width="16.28515625" style="96" customWidth="1"/>
    <col min="6" max="16384" width="9.28515625" style="96"/>
  </cols>
  <sheetData>
    <row r="2" spans="2:5" ht="14.25" customHeight="1">
      <c r="B2" s="273" t="s">
        <v>396</v>
      </c>
      <c r="C2" s="273"/>
      <c r="D2" s="273"/>
      <c r="E2" s="273"/>
    </row>
    <row r="3" spans="2:5" ht="14.25" customHeight="1">
      <c r="B3" s="273" t="s">
        <v>467</v>
      </c>
      <c r="C3" s="273"/>
      <c r="D3" s="273"/>
      <c r="E3" s="273"/>
    </row>
    <row r="4" spans="2:5" ht="14.25" customHeight="1">
      <c r="B4" s="273" t="s">
        <v>293</v>
      </c>
      <c r="C4" s="273"/>
      <c r="D4" s="273"/>
      <c r="E4" s="273"/>
    </row>
    <row r="5" spans="2:5" ht="14.25" customHeight="1">
      <c r="B5" s="242"/>
      <c r="C5" s="242"/>
      <c r="D5" s="242"/>
      <c r="E5" s="238" t="s">
        <v>474</v>
      </c>
    </row>
    <row r="6" spans="2:5" ht="15" customHeight="1">
      <c r="B6" s="262" t="s">
        <v>189</v>
      </c>
      <c r="C6" s="277" t="s">
        <v>16</v>
      </c>
      <c r="D6" s="262" t="s">
        <v>397</v>
      </c>
      <c r="E6" s="17"/>
    </row>
    <row r="7" spans="2:5" ht="15">
      <c r="B7" s="262"/>
      <c r="C7" s="277"/>
      <c r="D7" s="262"/>
      <c r="E7" s="17"/>
    </row>
    <row r="8" spans="2:5" ht="15">
      <c r="B8" s="262"/>
      <c r="C8" s="277"/>
      <c r="D8" s="99" t="s">
        <v>3</v>
      </c>
      <c r="E8" s="17"/>
    </row>
    <row r="9" spans="2:5" ht="15">
      <c r="B9" s="100">
        <v>1</v>
      </c>
      <c r="C9" s="30" t="s">
        <v>294</v>
      </c>
      <c r="D9" s="126">
        <f>F3.1!H12</f>
        <v>0.04</v>
      </c>
      <c r="E9" s="126"/>
    </row>
    <row r="10" spans="2:5">
      <c r="B10" s="30"/>
      <c r="C10" s="30"/>
      <c r="D10" s="115"/>
      <c r="E10" s="115"/>
    </row>
    <row r="11" spans="2:5" ht="15">
      <c r="B11" s="100">
        <v>2</v>
      </c>
      <c r="C11" s="101" t="s">
        <v>183</v>
      </c>
      <c r="D11" s="115"/>
      <c r="E11" s="115"/>
    </row>
    <row r="12" spans="2:5">
      <c r="B12" s="30"/>
      <c r="C12" s="30" t="s">
        <v>188</v>
      </c>
      <c r="D12" s="115"/>
      <c r="E12" s="115"/>
    </row>
    <row r="13" spans="2:5">
      <c r="B13" s="30"/>
      <c r="C13" s="30" t="s">
        <v>187</v>
      </c>
      <c r="D13" s="115"/>
      <c r="E13" s="115"/>
    </row>
    <row r="14" spans="2:5">
      <c r="B14" s="30"/>
      <c r="C14" s="30" t="s">
        <v>7</v>
      </c>
      <c r="D14" s="115"/>
      <c r="E14" s="115"/>
    </row>
    <row r="15" spans="2:5" ht="15">
      <c r="B15" s="30"/>
      <c r="C15" s="101" t="s">
        <v>181</v>
      </c>
      <c r="D15" s="126">
        <f>SUM(D12:D14)</f>
        <v>0</v>
      </c>
      <c r="E15" s="126"/>
    </row>
    <row r="16" spans="2:5">
      <c r="B16" s="30"/>
      <c r="C16" s="30"/>
      <c r="D16" s="115"/>
      <c r="E16" s="115"/>
    </row>
    <row r="17" spans="2:5">
      <c r="B17" s="100">
        <v>3</v>
      </c>
      <c r="C17" s="30" t="s">
        <v>0</v>
      </c>
      <c r="D17" s="115"/>
      <c r="E17" s="115"/>
    </row>
    <row r="18" spans="2:5">
      <c r="B18" s="100">
        <v>4</v>
      </c>
      <c r="C18" s="30" t="s">
        <v>184</v>
      </c>
      <c r="D18" s="115">
        <f>D9</f>
        <v>0.04</v>
      </c>
      <c r="E18" s="115"/>
    </row>
    <row r="19" spans="2:5">
      <c r="B19" s="100">
        <v>5</v>
      </c>
      <c r="C19" s="30" t="s">
        <v>295</v>
      </c>
      <c r="D19" s="115"/>
      <c r="E19" s="115"/>
    </row>
    <row r="20" spans="2:5" ht="15">
      <c r="B20" s="30"/>
      <c r="C20" s="30"/>
      <c r="D20" s="121"/>
      <c r="E20" s="121"/>
    </row>
    <row r="21" spans="2:5" ht="15">
      <c r="B21" s="100">
        <v>6</v>
      </c>
      <c r="C21" s="101" t="s">
        <v>296</v>
      </c>
      <c r="D21" s="126">
        <f>D15+D17+D18+D19</f>
        <v>0.04</v>
      </c>
      <c r="E21" s="126"/>
    </row>
  </sheetData>
  <mergeCells count="6">
    <mergeCell ref="B2:E2"/>
    <mergeCell ref="D6:D7"/>
    <mergeCell ref="B6:B8"/>
    <mergeCell ref="C6:C8"/>
    <mergeCell ref="B3:E3"/>
    <mergeCell ref="B4:E4"/>
  </mergeCells>
  <pageMargins left="0.95" right="0.7" top="0.75" bottom="0.75" header="0.3" footer="0.3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2</vt:i4>
      </vt:variant>
    </vt:vector>
  </HeadingPairs>
  <TitlesOfParts>
    <vt:vector size="23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F10</vt:lpstr>
      <vt:lpstr>F11</vt:lpstr>
      <vt:lpstr>F11.1</vt:lpstr>
      <vt:lpstr>F12</vt:lpstr>
      <vt:lpstr>F13</vt:lpstr>
      <vt:lpstr>F15</vt:lpstr>
      <vt:lpstr>Checklist!Print_Area</vt:lpstr>
      <vt:lpstr>'F1'!Print_Area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acer</cp:lastModifiedBy>
  <cp:lastPrinted>2025-06-20T08:45:32Z</cp:lastPrinted>
  <dcterms:created xsi:type="dcterms:W3CDTF">2004-07-28T05:30:50Z</dcterms:created>
  <dcterms:modified xsi:type="dcterms:W3CDTF">2025-06-20T09:37:14Z</dcterms:modified>
</cp:coreProperties>
</file>